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chartsheets/sheet15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Ex1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"/>
    </mc:Choice>
  </mc:AlternateContent>
  <xr:revisionPtr revIDLastSave="0" documentId="8_{E3C62945-DE53-4A57-86D4-CBE34D9F02F3}" xr6:coauthVersionLast="47" xr6:coauthVersionMax="47" xr10:uidLastSave="{00000000-0000-0000-0000-000000000000}"/>
  <bookViews>
    <workbookView xWindow="360" yWindow="504" windowWidth="50580" windowHeight="24660" tabRatio="765" xr2:uid="{5A5FA813-0133-4ABE-9C4B-ED9B1BD4BC7B}"/>
  </bookViews>
  <sheets>
    <sheet name="INVULFORMULIER" sheetId="2" r:id="rId1"/>
    <sheet name="REKENBLAD" sheetId="1" state="hidden" r:id="rId2"/>
    <sheet name="CO2 uitstoot" sheetId="24" r:id="rId3"/>
    <sheet name="Procentuele CO2-reductie" sheetId="25" r:id="rId4"/>
    <sheet name="VRAGENLIJST" sheetId="3" r:id="rId5"/>
    <sheet name="VRAGENLIJST (2)" sheetId="4" state="hidden" r:id="rId6"/>
    <sheet name="Communicatiekanalen" sheetId="26" r:id="rId7"/>
    <sheet name="1a. Overtuiging &amp; Houding" sheetId="9" r:id="rId8"/>
    <sheet name="1b. Overtuiging &amp; Houding" sheetId="11" r:id="rId9"/>
    <sheet name="2. Bekendheid" sheetId="12" r:id="rId10"/>
    <sheet name="3a. Impact op keuze" sheetId="16" r:id="rId11"/>
    <sheet name="3b. Impact op keuze" sheetId="17" r:id="rId12"/>
    <sheet name="4a. Opgemerkt" sheetId="18" r:id="rId13"/>
    <sheet name="4b. Opgemerkt" sheetId="19" r:id="rId14"/>
    <sheet name="5a. Impact op beleving" sheetId="20" r:id="rId15"/>
    <sheet name="5b. Impact op beleving" sheetId="21" r:id="rId16"/>
    <sheet name="6a. Impact op gedrag" sheetId="22" r:id="rId17"/>
    <sheet name="6b. Impact op gedrag" sheetId="23" r:id="rId18"/>
    <sheet name="CO2-reductie" sheetId="14" r:id="rId19"/>
  </sheets>
  <definedNames>
    <definedName name="_xlchart.v1.0" hidden="1">VRAGENLIJST!$A$5</definedName>
    <definedName name="_xlchart.v1.1" hidden="1">VRAGENLIJST!$B$4:$F$4</definedName>
    <definedName name="_xlchart.v1.2" hidden="1">VRAGENLIJST!$B$5:$F$5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  <c r="F95" i="4"/>
  <c r="E95" i="4"/>
  <c r="D95" i="4"/>
  <c r="C95" i="4"/>
  <c r="B95" i="4"/>
  <c r="F94" i="4"/>
  <c r="E94" i="4"/>
  <c r="D94" i="4"/>
  <c r="C94" i="4"/>
  <c r="B94" i="4"/>
  <c r="F91" i="4"/>
  <c r="E91" i="4"/>
  <c r="D91" i="4"/>
  <c r="C91" i="4"/>
  <c r="B91" i="4"/>
  <c r="F90" i="4"/>
  <c r="E90" i="4"/>
  <c r="D90" i="4"/>
  <c r="C90" i="4"/>
  <c r="B90" i="4"/>
  <c r="F76" i="4"/>
  <c r="E76" i="4"/>
  <c r="D76" i="4"/>
  <c r="C76" i="4"/>
  <c r="B76" i="4"/>
  <c r="F73" i="4"/>
  <c r="E73" i="4"/>
  <c r="D73" i="4"/>
  <c r="C73" i="4"/>
  <c r="B73" i="4"/>
  <c r="C61" i="4"/>
  <c r="B61" i="4"/>
  <c r="C58" i="4"/>
  <c r="B58" i="4"/>
  <c r="F49" i="4"/>
  <c r="E49" i="4"/>
  <c r="D49" i="4"/>
  <c r="C49" i="4"/>
  <c r="B49" i="4"/>
  <c r="F46" i="4"/>
  <c r="E46" i="4"/>
  <c r="D46" i="4"/>
  <c r="C46" i="4"/>
  <c r="B46" i="4"/>
  <c r="A34" i="4"/>
  <c r="A33" i="4"/>
  <c r="C138" i="1" l="1"/>
  <c r="C34" i="4" l="1"/>
  <c r="D34" i="4"/>
  <c r="B34" i="4"/>
  <c r="E34" i="4" s="1"/>
  <c r="C33" i="4"/>
  <c r="D33" i="4"/>
  <c r="B33" i="4"/>
  <c r="F33" i="4" l="1"/>
  <c r="G33" i="4"/>
  <c r="E33" i="4"/>
  <c r="G34" i="4"/>
  <c r="F34" i="4"/>
  <c r="A12" i="4"/>
  <c r="B12" i="4"/>
  <c r="C12" i="4"/>
  <c r="D12" i="4"/>
  <c r="E12" i="4"/>
  <c r="F12" i="4"/>
  <c r="A13" i="4"/>
  <c r="B13" i="4"/>
  <c r="C13" i="4"/>
  <c r="D13" i="4"/>
  <c r="E13" i="4"/>
  <c r="F13" i="4"/>
  <c r="A14" i="4"/>
  <c r="B14" i="4"/>
  <c r="C14" i="4"/>
  <c r="D14" i="4"/>
  <c r="E14" i="4"/>
  <c r="F14" i="4"/>
  <c r="A15" i="4"/>
  <c r="B15" i="4"/>
  <c r="C15" i="4"/>
  <c r="D15" i="4"/>
  <c r="E15" i="4"/>
  <c r="F15" i="4"/>
  <c r="A16" i="4"/>
  <c r="B16" i="4"/>
  <c r="C16" i="4"/>
  <c r="D16" i="4"/>
  <c r="E16" i="4"/>
  <c r="F16" i="4"/>
  <c r="A11" i="4"/>
  <c r="B5" i="4"/>
  <c r="C5" i="4"/>
  <c r="D5" i="4"/>
  <c r="E5" i="4"/>
  <c r="F5" i="4"/>
  <c r="B6" i="4"/>
  <c r="C6" i="4"/>
  <c r="D6" i="4"/>
  <c r="E6" i="4"/>
  <c r="F6" i="4"/>
  <c r="B7" i="4"/>
  <c r="C7" i="4"/>
  <c r="D7" i="4"/>
  <c r="E7" i="4"/>
  <c r="F7" i="4"/>
  <c r="B8" i="4"/>
  <c r="C8" i="4"/>
  <c r="D8" i="4"/>
  <c r="E8" i="4"/>
  <c r="F8" i="4"/>
  <c r="B9" i="4"/>
  <c r="C9" i="4"/>
  <c r="D9" i="4"/>
  <c r="E9" i="4"/>
  <c r="F9" i="4"/>
  <c r="A5" i="4"/>
  <c r="A6" i="4"/>
  <c r="A7" i="4"/>
  <c r="A8" i="4"/>
  <c r="A9" i="4"/>
  <c r="A4" i="4"/>
  <c r="C23" i="4" l="1"/>
  <c r="C22" i="4"/>
  <c r="C21" i="4"/>
  <c r="C20" i="4"/>
  <c r="C19" i="4"/>
  <c r="B20" i="4"/>
  <c r="B21" i="4"/>
  <c r="B22" i="4"/>
  <c r="B23" i="4"/>
  <c r="B19" i="4"/>
  <c r="C2" i="4"/>
  <c r="C1" i="4"/>
  <c r="B2" i="4"/>
  <c r="B1" i="4"/>
  <c r="B18" i="4" l="1"/>
  <c r="A138" i="4"/>
  <c r="C18" i="4"/>
  <c r="A139" i="4"/>
  <c r="C17" i="1"/>
  <c r="C28" i="1"/>
  <c r="C4" i="1" l="1"/>
  <c r="C5" i="1" s="1"/>
  <c r="H9" i="2" s="1"/>
  <c r="C6" i="1"/>
  <c r="C84" i="1" s="1"/>
  <c r="C163" i="1"/>
  <c r="C164" i="1"/>
  <c r="C181" i="1"/>
  <c r="C182" i="1"/>
  <c r="H217" i="1"/>
  <c r="C20" i="1"/>
  <c r="C21" i="1" s="1"/>
  <c r="C25" i="1" s="1"/>
  <c r="D226" i="1" s="1"/>
  <c r="C3" i="1"/>
  <c r="F77" i="1"/>
  <c r="F59" i="1"/>
  <c r="F107" i="1"/>
  <c r="C39" i="1"/>
  <c r="C42" i="1" s="1"/>
  <c r="C112" i="1"/>
  <c r="C115" i="1" s="1"/>
  <c r="C124" i="1"/>
  <c r="C131" i="1"/>
  <c r="L150" i="1"/>
  <c r="L151" i="1" s="1"/>
  <c r="C145" i="1"/>
  <c r="C199" i="1" s="1"/>
  <c r="C200" i="1" s="1"/>
  <c r="C146" i="1"/>
  <c r="F150" i="1"/>
  <c r="F151" i="1" s="1"/>
  <c r="C141" i="1"/>
  <c r="L168" i="1"/>
  <c r="L169" i="1" s="1"/>
  <c r="F168" i="1"/>
  <c r="F169" i="1" s="1"/>
  <c r="L186" i="1"/>
  <c r="L187" i="1" s="1"/>
  <c r="F186" i="1"/>
  <c r="F187" i="1" s="1"/>
  <c r="L204" i="1"/>
  <c r="L205" i="1" s="1"/>
  <c r="F204" i="1"/>
  <c r="F205" i="1" s="1"/>
  <c r="C31" i="1"/>
  <c r="C12" i="1"/>
  <c r="C13" i="1"/>
  <c r="H14" i="2"/>
  <c r="F91" i="1"/>
  <c r="C86" i="1" s="1"/>
  <c r="S35" i="2"/>
  <c r="S33" i="2"/>
  <c r="S31" i="2"/>
  <c r="S29" i="2"/>
  <c r="S27" i="2"/>
  <c r="C118" i="1" l="1"/>
  <c r="C119" i="1" s="1"/>
  <c r="D247" i="1" s="1"/>
  <c r="C120" i="1"/>
  <c r="C247" i="1" s="1"/>
  <c r="C32" i="1"/>
  <c r="C43" i="1"/>
  <c r="C44" i="1" s="1"/>
  <c r="C47" i="1" s="1"/>
  <c r="D229" i="1" s="1"/>
  <c r="C46" i="1"/>
  <c r="C246" i="1" s="1"/>
  <c r="C127" i="1"/>
  <c r="C207" i="1"/>
  <c r="C208" i="1" s="1"/>
  <c r="C209" i="1" s="1"/>
  <c r="C210" i="1" s="1"/>
  <c r="C189" i="1"/>
  <c r="C190" i="1" s="1"/>
  <c r="C191" i="1" s="1"/>
  <c r="C192" i="1" s="1"/>
  <c r="C171" i="1"/>
  <c r="C172" i="1" s="1"/>
  <c r="C173" i="1" s="1"/>
  <c r="C174" i="1" s="1"/>
  <c r="C153" i="1"/>
  <c r="C154" i="1" s="1"/>
  <c r="C157" i="1" s="1"/>
  <c r="C22" i="1"/>
  <c r="C243" i="1" s="1"/>
  <c r="C23" i="1"/>
  <c r="C14" i="1"/>
  <c r="C222" i="1" s="1"/>
  <c r="C7" i="1"/>
  <c r="C8" i="1" s="1"/>
  <c r="C52" i="1" s="1"/>
  <c r="C83" i="1"/>
  <c r="C134" i="1" l="1"/>
  <c r="C248" i="1" s="1"/>
  <c r="C129" i="1"/>
  <c r="C130" i="1" s="1"/>
  <c r="C132" i="1" s="1"/>
  <c r="C133" i="1" s="1"/>
  <c r="D231" i="1" s="1"/>
  <c r="E231" i="1" s="1"/>
  <c r="C121" i="1"/>
  <c r="D230" i="1" s="1"/>
  <c r="E230" i="1" s="1"/>
  <c r="C33" i="1"/>
  <c r="C34" i="1"/>
  <c r="C242" i="1" s="1"/>
  <c r="C45" i="1"/>
  <c r="D246" i="1" s="1"/>
  <c r="E246" i="1" s="1"/>
  <c r="C211" i="1"/>
  <c r="C212" i="1" s="1"/>
  <c r="D235" i="1" s="1"/>
  <c r="E235" i="1" s="1"/>
  <c r="E247" i="1"/>
  <c r="C193" i="1"/>
  <c r="C194" i="1" s="1"/>
  <c r="D234" i="1" s="1"/>
  <c r="E234" i="1" s="1"/>
  <c r="C175" i="1"/>
  <c r="C176" i="1" s="1"/>
  <c r="D233" i="1" s="1"/>
  <c r="E233" i="1" s="1"/>
  <c r="C155" i="1"/>
  <c r="C156" i="1" s="1"/>
  <c r="C159" i="1" s="1"/>
  <c r="C217" i="1"/>
  <c r="C24" i="1"/>
  <c r="D243" i="1"/>
  <c r="E243" i="1" s="1"/>
  <c r="E229" i="1"/>
  <c r="E226" i="1"/>
  <c r="C85" i="1"/>
  <c r="C96" i="1"/>
  <c r="F9" i="1"/>
  <c r="J9" i="2" s="1"/>
  <c r="C50" i="1"/>
  <c r="C135" i="1" l="1"/>
  <c r="D248" i="1" s="1"/>
  <c r="E248" i="1" s="1"/>
  <c r="C98" i="1"/>
  <c r="C97" i="1"/>
  <c r="C160" i="1"/>
  <c r="C249" i="1" s="1"/>
  <c r="D249" i="1"/>
  <c r="C158" i="1"/>
  <c r="D232" i="1" s="1"/>
  <c r="E232" i="1" s="1"/>
  <c r="C35" i="1"/>
  <c r="D242" i="1" s="1"/>
  <c r="E242" i="1" s="1"/>
  <c r="C36" i="1"/>
  <c r="D225" i="1" s="1"/>
  <c r="E225" i="1" s="1"/>
  <c r="C213" i="1"/>
  <c r="C195" i="1"/>
  <c r="C196" i="1" s="1"/>
  <c r="C177" i="1"/>
  <c r="C65" i="1"/>
  <c r="C53" i="1"/>
  <c r="C66" i="1" s="1"/>
  <c r="C51" i="1"/>
  <c r="C64" i="1" s="1"/>
  <c r="C87" i="1"/>
  <c r="C88" i="1"/>
  <c r="C100" i="1" l="1"/>
  <c r="C103" i="1" s="1"/>
  <c r="D245" i="1" s="1"/>
  <c r="C99" i="1"/>
  <c r="C102" i="1" s="1"/>
  <c r="C104" i="1" s="1"/>
  <c r="C245" i="1" s="1"/>
  <c r="E249" i="1"/>
  <c r="C214" i="1"/>
  <c r="C252" i="1" s="1"/>
  <c r="C74" i="1"/>
  <c r="C244" i="1" s="1"/>
  <c r="C178" i="1"/>
  <c r="C250" i="1" s="1"/>
  <c r="D252" i="1"/>
  <c r="D251" i="1"/>
  <c r="C251" i="1"/>
  <c r="D250" i="1"/>
  <c r="C55" i="1"/>
  <c r="C54" i="1"/>
  <c r="C56" i="1"/>
  <c r="C68" i="1"/>
  <c r="C67" i="1"/>
  <c r="C69" i="1"/>
  <c r="C215" i="1" l="1"/>
  <c r="E252" i="1"/>
  <c r="E250" i="1"/>
  <c r="E251" i="1"/>
  <c r="D228" i="1"/>
  <c r="E228" i="1" s="1"/>
  <c r="C253" i="1"/>
  <c r="C69" i="2" s="1"/>
  <c r="C72" i="1"/>
  <c r="E245" i="1"/>
  <c r="C71" i="1"/>
  <c r="C73" i="1"/>
  <c r="D244" i="1" s="1"/>
  <c r="E244" i="1" l="1"/>
  <c r="D253" i="1"/>
  <c r="D227" i="1"/>
  <c r="D222" i="1"/>
  <c r="E222" i="1" s="1"/>
  <c r="E227" i="1" l="1"/>
  <c r="E236" i="1" s="1"/>
  <c r="D236" i="1"/>
  <c r="E253" i="1"/>
  <c r="C73" i="2" s="1"/>
  <c r="C71" i="2"/>
  <c r="C65" i="2"/>
  <c r="F222" i="1"/>
  <c r="C67" i="2" s="1"/>
  <c r="C239" i="1"/>
  <c r="B139" i="4" l="1"/>
  <c r="B138" i="4"/>
</calcChain>
</file>

<file path=xl/sharedStrings.xml><?xml version="1.0" encoding="utf-8"?>
<sst xmlns="http://schemas.openxmlformats.org/spreadsheetml/2006/main" count="822" uniqueCount="311">
  <si>
    <t>INVOER</t>
  </si>
  <si>
    <t>HUIDIG VERBRUIK</t>
  </si>
  <si>
    <t>JAARLIJKSE ELEKTRICITEITSVERBRUIK UIT HET NET</t>
  </si>
  <si>
    <t>MWh/jaar</t>
  </si>
  <si>
    <t>JAARLIJKS GASVERBRUIK of WARMTEVERBRUIK</t>
  </si>
  <si>
    <t>Nm³/jaar</t>
  </si>
  <si>
    <t>PRIJS ELEKTRICITEIT</t>
  </si>
  <si>
    <t>EURO/MWh</t>
  </si>
  <si>
    <t>PRIJS AARDGAS</t>
  </si>
  <si>
    <t>EURO/Nm³</t>
  </si>
  <si>
    <t>Gegegevens camping/recreatiepark</t>
  </si>
  <si>
    <t>AANTAL CAMPINGPLAATSEN</t>
  </si>
  <si>
    <t>plaatsen</t>
  </si>
  <si>
    <t>AANTAL HUIZEN/CHALLETS</t>
  </si>
  <si>
    <t>huizen</t>
  </si>
  <si>
    <t>INVOER HUIDIGE SITUATIE NA MAATREGELEN</t>
  </si>
  <si>
    <t>Duurzame maatregelen</t>
  </si>
  <si>
    <t>Huidige situatie</t>
  </si>
  <si>
    <t>Nieuwe situatie</t>
  </si>
  <si>
    <t>URBAN WINDTURBINE</t>
  </si>
  <si>
    <t>turbines</t>
  </si>
  <si>
    <t>ZONNEPANELEN</t>
  </si>
  <si>
    <t>panelen</t>
  </si>
  <si>
    <t>ZONNECOLLECTOR</t>
  </si>
  <si>
    <t>m²</t>
  </si>
  <si>
    <t>ENERGIEZUINIGE BUITENVERLICHTING</t>
  </si>
  <si>
    <t>lampen</t>
  </si>
  <si>
    <t>DOUCHES MET WATERBESPARENDE DOUCHEKOP</t>
  </si>
  <si>
    <t>douches</t>
  </si>
  <si>
    <t>VERWARMING (CV)</t>
  </si>
  <si>
    <t>TAPWATEROPWEKKING</t>
  </si>
  <si>
    <t>ISOLATIE GEVEL VAKANTIEHUISJE</t>
  </si>
  <si>
    <t>ISOLATIE VLOER</t>
  </si>
  <si>
    <t>ISOLATIE DAK</t>
  </si>
  <si>
    <t>BEGLAZING</t>
  </si>
  <si>
    <t>RESULTATEN</t>
  </si>
  <si>
    <r>
      <t>CO</t>
    </r>
    <r>
      <rPr>
        <b/>
        <vertAlign val="subscript"/>
        <sz val="14"/>
        <color theme="1"/>
        <rFont val="Calibri"/>
        <family val="2"/>
      </rPr>
      <t>2</t>
    </r>
    <r>
      <rPr>
        <b/>
        <sz val="14"/>
        <color theme="1"/>
        <rFont val="Calibri"/>
        <family val="2"/>
      </rPr>
      <t xml:space="preserve"> reductie</t>
    </r>
  </si>
  <si>
    <t>ton/jaar</t>
  </si>
  <si>
    <r>
      <t>Procentueel CO</t>
    </r>
    <r>
      <rPr>
        <b/>
        <vertAlign val="subscript"/>
        <sz val="14"/>
        <color theme="1"/>
        <rFont val="Calibri"/>
        <family val="2"/>
      </rPr>
      <t>2</t>
    </r>
    <r>
      <rPr>
        <b/>
        <sz val="14"/>
        <color theme="1"/>
        <rFont val="Calibri"/>
        <family val="2"/>
      </rPr>
      <t xml:space="preserve"> reductie</t>
    </r>
  </si>
  <si>
    <t>Totale investering</t>
  </si>
  <si>
    <t>Euro</t>
  </si>
  <si>
    <t>Totale besparing</t>
  </si>
  <si>
    <t>Euro/jaar</t>
  </si>
  <si>
    <t>Terugverdientijd</t>
  </si>
  <si>
    <t>Jaar</t>
  </si>
  <si>
    <t>GEGEVENS</t>
  </si>
  <si>
    <t>TOELICHTING</t>
  </si>
  <si>
    <t>BRON</t>
  </si>
  <si>
    <t>Elektriciteitsverbruik</t>
  </si>
  <si>
    <t>Gasverbruik</t>
  </si>
  <si>
    <t>Nm3/jaar</t>
  </si>
  <si>
    <t>Warmteverbruik totaal</t>
  </si>
  <si>
    <t>Aantal tappunten warm water</t>
  </si>
  <si>
    <t>tappunten</t>
  </si>
  <si>
    <t>Warmteverbruik tapwater</t>
  </si>
  <si>
    <t>(inschatting)</t>
  </si>
  <si>
    <t>Warmteverbruik CV</t>
  </si>
  <si>
    <t>Minimale warmteverbruik CV</t>
  </si>
  <si>
    <t>Uitgangspunt gemiddeld aardgasbruik vakantiewoning/chalet is 600 m3/jaar</t>
  </si>
  <si>
    <t>CO2 factor elektriciteit</t>
  </si>
  <si>
    <t>ton/MWh</t>
  </si>
  <si>
    <r>
      <t>Integrale CO</t>
    </r>
    <r>
      <rPr>
        <vertAlign val="subscript"/>
        <sz val="10"/>
        <color theme="1"/>
        <rFont val="Calibri"/>
        <family val="2"/>
      </rPr>
      <t>2</t>
    </r>
    <r>
      <rPr>
        <sz val="10"/>
        <color theme="1"/>
        <rFont val="Calibri"/>
        <family val="2"/>
      </rPr>
      <t>emissiefactoren voor 2022 van de Nederlandse elektriciteitsproductie</t>
    </r>
  </si>
  <si>
    <t>CBS</t>
  </si>
  <si>
    <t>CO2 factor gas</t>
  </si>
  <si>
    <t>kg/Nm³</t>
  </si>
  <si>
    <t xml:space="preserve">Nederlandse Lijst van energiedragers en standaard CO2 emissiefactoren </t>
  </si>
  <si>
    <t>RVO</t>
  </si>
  <si>
    <t>Prijs elektra</t>
  </si>
  <si>
    <t>euro/MWh</t>
  </si>
  <si>
    <t>Prijs gas</t>
  </si>
  <si>
    <t>euro/Nm3</t>
  </si>
  <si>
    <t>CO2 uitstoot huidig</t>
  </si>
  <si>
    <t>URBAN WINDTURBINES huidig</t>
  </si>
  <si>
    <t>Aantal</t>
  </si>
  <si>
    <t>stuks</t>
  </si>
  <si>
    <t>URBAN WINDTURBINES nieuw</t>
  </si>
  <si>
    <t>Aantal erbij</t>
  </si>
  <si>
    <t>Opbrengst</t>
  </si>
  <si>
    <t>Uitgangspunt Skystream Urban windturbine, 1,8 kW, 1827 kWh/jaar</t>
  </si>
  <si>
    <t>Duurzame energiebronnen. https://www.duurzame-energiebronnen.nl/subsidie-windenergie.php</t>
  </si>
  <si>
    <t>Investering</t>
  </si>
  <si>
    <t>euro</t>
  </si>
  <si>
    <t>Besparing</t>
  </si>
  <si>
    <t>euro/jaar</t>
  </si>
  <si>
    <t>jaar</t>
  </si>
  <si>
    <t>CO2 reductie</t>
  </si>
  <si>
    <t>ZONNEPANELEN huidig</t>
  </si>
  <si>
    <t>Aantal panelen</t>
  </si>
  <si>
    <t>ZONNEPANELEN nieuw</t>
  </si>
  <si>
    <t>Aantal kWpiek</t>
  </si>
  <si>
    <t>kWpiek</t>
  </si>
  <si>
    <t>Vermogen is gemiddeld 365 Wp per paneel</t>
  </si>
  <si>
    <t>Voltasolar.nl</t>
  </si>
  <si>
    <t>Opbrengst is gemiddeld 0,85 kWh per Wp</t>
  </si>
  <si>
    <t>Prijspijl 2023 geeft 1,45 euro/Wp</t>
  </si>
  <si>
    <t>Regionaal energieloket</t>
  </si>
  <si>
    <t>https://kennisbank.regionaalenergieloket.nl/zonnepanelen/prijzen-zonnepanelen/#:~:text=De%20gemiddelde%20prijs%20van%20zonnepanelen,twee%20jaar%20nagenoeg%20gelijk%20gebleven.</t>
  </si>
  <si>
    <t>ZONNEBOILER huidig</t>
  </si>
  <si>
    <t>Aantal m²</t>
  </si>
  <si>
    <t>ZONNEBOILER nieuw</t>
  </si>
  <si>
    <t>Aantal m² erbij</t>
  </si>
  <si>
    <t>Opbrengst is circa 0,5 MWh/m2 per jaar</t>
  </si>
  <si>
    <t>Collector van 4 m2 kost 6.500 euro (excl. subsidie)</t>
  </si>
  <si>
    <t>Milieucentraal.nl</t>
  </si>
  <si>
    <t>VERWARMING (CV) huidig</t>
  </si>
  <si>
    <t>Verwarmingsvraag</t>
  </si>
  <si>
    <t>Verwarmingsvermogen</t>
  </si>
  <si>
    <t>kW</t>
  </si>
  <si>
    <t>CO2 uitstoot</t>
  </si>
  <si>
    <t>Energieverbruik</t>
  </si>
  <si>
    <t>Energiekosten</t>
  </si>
  <si>
    <t>COP</t>
  </si>
  <si>
    <t>keuze</t>
  </si>
  <si>
    <t>Gas</t>
  </si>
  <si>
    <t>Lucht/water</t>
  </si>
  <si>
    <t>Grondwater / bodem</t>
  </si>
  <si>
    <t>VERWARMING (CV) nieuw</t>
  </si>
  <si>
    <t>Energiebesparing</t>
  </si>
  <si>
    <t>Lucht / water 475 euro/kW, Grondwater/bodem 1.700 euro/kW excl. subsidie</t>
  </si>
  <si>
    <t>Duurzaamheidsvergelijker: https://duurzaamheidsvergelijker.nl/warmtepomp/warmtepomp-kosten</t>
  </si>
  <si>
    <t>https://warmtepompenadvies.nl/warmtepomp-rendement/</t>
  </si>
  <si>
    <t>https://kennisbank.regionaalenergieloket.nl/warmtepomp/bodem-warmtepomp/</t>
  </si>
  <si>
    <t>TAPWATERVERWARMING huidig</t>
  </si>
  <si>
    <t>Benodigde tapwaterverwarming</t>
  </si>
  <si>
    <t>Vermogensvraag</t>
  </si>
  <si>
    <t xml:space="preserve">Benodigde gas </t>
  </si>
  <si>
    <t>Benodigde elektriciteit</t>
  </si>
  <si>
    <t>Elektrisch</t>
  </si>
  <si>
    <t>Warmtepompboiler</t>
  </si>
  <si>
    <t>https://warmtepomp-weetjes.nl/soorten/warmtepompboiler/</t>
  </si>
  <si>
    <t>TAPWATERVERWARMING nieuw</t>
  </si>
  <si>
    <t>Benodigde verwarming</t>
  </si>
  <si>
    <t xml:space="preserve">CO2 uitstoot </t>
  </si>
  <si>
    <t>ENERGIEZUINIGE VERLICHTING huidig</t>
  </si>
  <si>
    <t>Aantal lampen</t>
  </si>
  <si>
    <t>ENERGIEZUINIGE VERLICHTING nieuw</t>
  </si>
  <si>
    <t>Aantal lampen erbij</t>
  </si>
  <si>
    <t>Aantal branduren</t>
  </si>
  <si>
    <t>uur/jaar</t>
  </si>
  <si>
    <t>W/lamp</t>
  </si>
  <si>
    <t>https://www.wellicht.com/enegieverbruik-buitenlamp-berekenen</t>
  </si>
  <si>
    <t>WATERBESPARENDE DOUCHES huidig</t>
  </si>
  <si>
    <t>Aantal douches</t>
  </si>
  <si>
    <t>WATERBESPARENDE DOUCHES</t>
  </si>
  <si>
    <t>Aantal douches erbij</t>
  </si>
  <si>
    <t>Besparing per douche</t>
  </si>
  <si>
    <t>https://www.milieucentraal.nl/energie-besparen/duurzaam-warm-water/besparen-onder-de-douche/#:~:text=Gebruik%20voor%20de%20douche%20een,douchekoppen%20die%20gegarandeerd%20waterbesparend%20zijn.</t>
  </si>
  <si>
    <t>Besparing gas</t>
  </si>
  <si>
    <t>Besparing elektriciteit</t>
  </si>
  <si>
    <t>https://www.duurzaambouwloket.nl/maatregel/waterbesparende-douchekop#:~:text=Een%20waterbesparende%20douchekop%20is%20te,het%20design%20van%20de%20douchekop.</t>
  </si>
  <si>
    <t>CHALETS</t>
  </si>
  <si>
    <t>Stookseizoen</t>
  </si>
  <si>
    <t>Prijzen uit Actualisatie Bouw- en investeringskosten energiebesparende maatregelen, bestaande woningbouw 2021. Arcadis</t>
  </si>
  <si>
    <t>Gemiddelde buitentemperatuur</t>
  </si>
  <si>
    <t>°C</t>
  </si>
  <si>
    <t>Gemiddelde binnentemperatuur</t>
  </si>
  <si>
    <t>Delta T</t>
  </si>
  <si>
    <t>K</t>
  </si>
  <si>
    <t>ISOLATIE GEVEL</t>
  </si>
  <si>
    <t>Geveloppervlakte per chalet</t>
  </si>
  <si>
    <t>Totaal geveloppevlakte</t>
  </si>
  <si>
    <t>R-waarde</t>
  </si>
  <si>
    <t>Matig (4 cm)</t>
  </si>
  <si>
    <t>Goed (10 cm)</t>
  </si>
  <si>
    <t>Heel goed (12 cm)</t>
  </si>
  <si>
    <t>U-waarde</t>
  </si>
  <si>
    <t>Heel goed (19 cm)</t>
  </si>
  <si>
    <t>Reductie warmteverlies</t>
  </si>
  <si>
    <t>Jaarlijkse reductie verlies</t>
  </si>
  <si>
    <t>GJ/jaar</t>
  </si>
  <si>
    <t>MWh elektrisch/jaar</t>
  </si>
  <si>
    <t>Vloeroppervlakte per chalet</t>
  </si>
  <si>
    <t>Totaal vloeroppervlakte</t>
  </si>
  <si>
    <t>Matig (4cm)</t>
  </si>
  <si>
    <t>Heel goed (13 cm)</t>
  </si>
  <si>
    <t>Dakoppervlakte per chalet</t>
  </si>
  <si>
    <t>Totaal dakoppervlakte</t>
  </si>
  <si>
    <t>Goed (11 cm)</t>
  </si>
  <si>
    <t>Heel goed (20 cm)</t>
  </si>
  <si>
    <t>Glasoppervlak per chalet</t>
  </si>
  <si>
    <t>Totaal glasoppervlakte</t>
  </si>
  <si>
    <t>Enkel glas</t>
  </si>
  <si>
    <t>Dubbel glas</t>
  </si>
  <si>
    <t>HR++ glas</t>
  </si>
  <si>
    <t>Reductie warmteverlies totaal</t>
  </si>
  <si>
    <t>MWh</t>
  </si>
  <si>
    <t>Minimale warmtevraag</t>
  </si>
  <si>
    <t>Primaire energieverbruik</t>
  </si>
  <si>
    <t>Huidig</t>
  </si>
  <si>
    <t>Nieuw</t>
  </si>
  <si>
    <t>reductie</t>
  </si>
  <si>
    <t>%</t>
  </si>
  <si>
    <t>Zonnepanelen</t>
  </si>
  <si>
    <t>Windturbines</t>
  </si>
  <si>
    <t>Duurzame verwarming</t>
  </si>
  <si>
    <t>Duurzame tapwateropwekking</t>
  </si>
  <si>
    <t>Zonneboiler</t>
  </si>
  <si>
    <t>Energiezuinige verlichting</t>
  </si>
  <si>
    <t>Waterbesparende douches</t>
  </si>
  <si>
    <t>Isolatie gevel</t>
  </si>
  <si>
    <t>Isolatie vloer</t>
  </si>
  <si>
    <t>Isolatie dak</t>
  </si>
  <si>
    <t>Isolerende beglazing</t>
  </si>
  <si>
    <t>TOTAAL</t>
  </si>
  <si>
    <t>CO2 opname van gemiddeld</t>
  </si>
  <si>
    <t>bomen</t>
  </si>
  <si>
    <t>TVT</t>
  </si>
  <si>
    <t>Aantal overnachtingen</t>
  </si>
  <si>
    <t>Wat doe ik als ondernemer om te communiceren over mijn duurzaamheidsinnovaties?</t>
  </si>
  <si>
    <t>Website</t>
  </si>
  <si>
    <t>Infomap</t>
  </si>
  <si>
    <t>Nieuwsbrief</t>
  </si>
  <si>
    <t>Gehele camping</t>
  </si>
  <si>
    <t>Rondleidingen</t>
  </si>
  <si>
    <t>1 = ja / 0 = neen</t>
  </si>
  <si>
    <t>Legenda Vraag 1</t>
  </si>
  <si>
    <t>1 = helemaal oneens</t>
  </si>
  <si>
    <t>2 = oneens</t>
  </si>
  <si>
    <t>3 = niet oneens / niet eens</t>
  </si>
  <si>
    <t>4 = eens</t>
  </si>
  <si>
    <t>5 = helemaal eens</t>
  </si>
  <si>
    <t>Aantal valide antwoorden per antwoordmogelijkheid (vraag 1)</t>
  </si>
  <si>
    <t>helemaal oneens</t>
  </si>
  <si>
    <t>oneens</t>
  </si>
  <si>
    <t>niet oneens / niet eens</t>
  </si>
  <si>
    <t>eens</t>
  </si>
  <si>
    <t>helemaal eens</t>
  </si>
  <si>
    <t>De opwarming van de aarde is een probleem dat mijn leven en dat van mijn kinderen ernstig gaat bedreigen</t>
  </si>
  <si>
    <t>Ik heb er begrip voor dat campings maatregelen nemen om te verduurzamen.</t>
  </si>
  <si>
    <t>Ik bezoek liever campings die maatregelen nemen om te verduurzamen, dan campings die daar niet mee bezig zijn.</t>
  </si>
  <si>
    <t>Ik ben bereid om mijn gedrag op vakantie aan te passen als dat bijdraagt aan het beperken van klimaatverandering.</t>
  </si>
  <si>
    <t>Ik ben bereid om meer te betalen voor mijn vakantie als dat bijdraagt aan het beperken van klimaatverandering.</t>
  </si>
  <si>
    <t>Legenda Vraag 2</t>
  </si>
  <si>
    <t>1 = Ja, ik wist dit voorafgaand aan mijn verblijf</t>
  </si>
  <si>
    <t>2 = Je, ik heb hier iets over gehoord tijdens mijn verblijf</t>
  </si>
  <si>
    <t>3 = Neen, Ik wist dit niet</t>
  </si>
  <si>
    <t>Aantal valide antwoorden per antwoordmogelijkheid (vraag 2)</t>
  </si>
  <si>
    <t>Bent u op de hoogte dat de camping bezig is met duurzame innovaties?</t>
  </si>
  <si>
    <t>Legenda Vraag 3</t>
  </si>
  <si>
    <t>1 = helemaal niet</t>
  </si>
  <si>
    <t>2 = niet</t>
  </si>
  <si>
    <t>3 = niet/wel</t>
  </si>
  <si>
    <t>4 = wel</t>
  </si>
  <si>
    <t>5 = helemaal wel</t>
  </si>
  <si>
    <t>Aantal valide antwoorden per antwoordmogelijkheid (vraag 3)</t>
  </si>
  <si>
    <t>helemaal niet</t>
  </si>
  <si>
    <t>niet</t>
  </si>
  <si>
    <t>niet/wel</t>
  </si>
  <si>
    <t>wel</t>
  </si>
  <si>
    <t>helemaal wel</t>
  </si>
  <si>
    <t>In hoeverre had dit invloed op uw keuze voor deze camping?</t>
  </si>
  <si>
    <t>Legenda Vraag 4</t>
  </si>
  <si>
    <t>1 = Ja</t>
  </si>
  <si>
    <t>2= Neen</t>
  </si>
  <si>
    <t>Aantal valide antwoorden per antwoordmogelijkheid (vraag 4)</t>
  </si>
  <si>
    <t>Heeft u iets gemerkt van de duurzame innovaties tijdens uw verblijf op de camping?</t>
  </si>
  <si>
    <t>Legenda Vraag 5</t>
  </si>
  <si>
    <t>1 = heel negatief --</t>
  </si>
  <si>
    <t>2 = negatief -</t>
  </si>
  <si>
    <t>3 = negatief/positief -/+</t>
  </si>
  <si>
    <t>4 = positief +</t>
  </si>
  <si>
    <t>5 = heel positief ++</t>
  </si>
  <si>
    <t>--</t>
  </si>
  <si>
    <t>-</t>
  </si>
  <si>
    <t>-/+</t>
  </si>
  <si>
    <t>+</t>
  </si>
  <si>
    <t>++</t>
  </si>
  <si>
    <t>In hoeverre hadden de duurzame innovaties impact op uw beleving?</t>
  </si>
  <si>
    <t>Bij vraag 5 kunnen respondenten optioneel toelichting verschaffen. Deze toelichtingen worden in deze tool niet gekwantificeerd voor verwerking in de grafische reportage op volgende werkbladen.</t>
  </si>
  <si>
    <t>Legenda Vraag 6</t>
  </si>
  <si>
    <t>Aantal valide antwoorden per antwoordmogelijkheid (vraag 6)</t>
  </si>
  <si>
    <t>Ik ga bewuster om met energie op de camping</t>
  </si>
  <si>
    <t>Ik plan bewuster met energie om te gaan als ik weer thuis ben</t>
  </si>
  <si>
    <t>Legenda Vraag 7</t>
  </si>
  <si>
    <t>Optioneel tekstuele toelichting met betrekking tot de gekozen antwoorden bij vraag 6</t>
  </si>
  <si>
    <t>Bij vraag 7 kunnen respondenten optioneel toelichting verschaffen. Deze toelichtingen worden in deze tool niet gekwantificeerd voor verwerking in de grafische reportage op volgende werkbladen.</t>
  </si>
  <si>
    <t>Legenda Vraag 8</t>
  </si>
  <si>
    <t>Natuurlijk getal</t>
  </si>
  <si>
    <t>Aantal valide antwoorden per categorie (vraag 8)</t>
  </si>
  <si>
    <t>&lt;18</t>
  </si>
  <si>
    <t>18-30</t>
  </si>
  <si>
    <t>30-50</t>
  </si>
  <si>
    <t>50-70</t>
  </si>
  <si>
    <t>70+</t>
  </si>
  <si>
    <t>Leeftijd</t>
  </si>
  <si>
    <t>Legenda Vraag 9</t>
  </si>
  <si>
    <t>Keuzemogelijkheid</t>
  </si>
  <si>
    <t>Alleen</t>
  </si>
  <si>
    <t>Met z'n 2</t>
  </si>
  <si>
    <t>Met gezin</t>
  </si>
  <si>
    <t>Met ruime
familie</t>
  </si>
  <si>
    <t>Vrienden</t>
  </si>
  <si>
    <t>Anders</t>
  </si>
  <si>
    <t>Met wie verblijft u op de camping?</t>
  </si>
  <si>
    <t>Legenda Vraag 10</t>
  </si>
  <si>
    <t>Aantal valide antwoorden per categorie (vraag 10)</t>
  </si>
  <si>
    <t>Nederlands</t>
  </si>
  <si>
    <t>Belgisch</t>
  </si>
  <si>
    <t>Duits</t>
  </si>
  <si>
    <t>Wat is uw nationaliteit?</t>
  </si>
  <si>
    <t>Legenda Vraag 11</t>
  </si>
  <si>
    <t>Optioneel tekstuele toelichting aan het eind van het interview</t>
  </si>
  <si>
    <t>Bij vraag 11 kunnen respondenten optioneel toelichting verschaffen. Deze toelichtingen worden in deze tool niet gekwantificeerd voor verwerking in de grafische reportage op volgende werkbladen.</t>
  </si>
  <si>
    <t>Nullijn</t>
  </si>
  <si>
    <t>Ik wist het vooraf</t>
  </si>
  <si>
    <t>Ik heb er iets over gehoord</t>
  </si>
  <si>
    <t>Ik wist het niet</t>
  </si>
  <si>
    <t>ja</t>
  </si>
  <si>
    <t>neen</t>
  </si>
  <si>
    <t>CO2-reductie per onvernachting</t>
  </si>
  <si>
    <t>aantal kilogram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</si>
</sst>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0.0"/>
    <numFmt numFmtId="166" formatCode="#,##0.0"/>
    <numFmt numFmtId="167" formatCode="_ * #,##0_ ;_ * \-#,##0_ ;_ * &quot;-&quot;??_ ;_ @_ "/>
  </numFmts>
  <fonts count="14"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color rgb="FFFF0000"/>
      <name val="Calibri"/>
      <family val="2"/>
    </font>
    <font>
      <sz val="14"/>
      <color theme="1"/>
      <name val="Calibri"/>
      <family val="2"/>
    </font>
    <font>
      <i/>
      <sz val="14"/>
      <color theme="1"/>
      <name val="Calibri"/>
      <family val="2"/>
    </font>
    <font>
      <b/>
      <sz val="14"/>
      <color theme="1"/>
      <name val="Calibri"/>
      <family val="2"/>
    </font>
    <font>
      <b/>
      <vertAlign val="subscript"/>
      <sz val="14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i/>
      <sz val="10"/>
      <color theme="1"/>
      <name val="Calibri"/>
      <family val="2"/>
    </font>
    <font>
      <u/>
      <sz val="10"/>
      <color theme="10"/>
      <name val="Calibri"/>
      <family val="2"/>
    </font>
    <font>
      <vertAlign val="subscript"/>
      <sz val="10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108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3" xfId="0" applyBorder="1"/>
    <xf numFmtId="0" fontId="3" fillId="0" borderId="0" xfId="0" applyFont="1"/>
    <xf numFmtId="0" fontId="4" fillId="0" borderId="1" xfId="0" applyFont="1" applyBorder="1"/>
    <xf numFmtId="0" fontId="5" fillId="0" borderId="3" xfId="0" applyFont="1" applyBorder="1"/>
    <xf numFmtId="0" fontId="2" fillId="0" borderId="0" xfId="0" applyFont="1"/>
    <xf numFmtId="0" fontId="4" fillId="0" borderId="0" xfId="0" applyFont="1"/>
    <xf numFmtId="0" fontId="1" fillId="0" borderId="1" xfId="0" applyFont="1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7" xfId="0" applyFont="1" applyBorder="1"/>
    <xf numFmtId="0" fontId="4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" fillId="0" borderId="13" xfId="0" applyFon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5" fillId="0" borderId="10" xfId="0" applyFont="1" applyBorder="1"/>
    <xf numFmtId="0" fontId="1" fillId="0" borderId="8" xfId="0" applyFont="1" applyBorder="1"/>
    <xf numFmtId="3" fontId="0" fillId="0" borderId="0" xfId="0" applyNumberFormat="1"/>
    <xf numFmtId="165" fontId="0" fillId="0" borderId="0" xfId="0" applyNumberFormat="1"/>
    <xf numFmtId="0" fontId="0" fillId="0" borderId="19" xfId="0" applyBorder="1"/>
    <xf numFmtId="9" fontId="0" fillId="0" borderId="20" xfId="0" applyNumberFormat="1" applyBorder="1"/>
    <xf numFmtId="165" fontId="0" fillId="0" borderId="21" xfId="0" applyNumberFormat="1" applyBorder="1"/>
    <xf numFmtId="165" fontId="0" fillId="0" borderId="22" xfId="0" applyNumberFormat="1" applyBorder="1"/>
    <xf numFmtId="0" fontId="0" fillId="0" borderId="23" xfId="0" applyBorder="1"/>
    <xf numFmtId="0" fontId="0" fillId="0" borderId="24" xfId="0" applyBorder="1"/>
    <xf numFmtId="165" fontId="0" fillId="0" borderId="17" xfId="0" applyNumberFormat="1" applyBorder="1"/>
    <xf numFmtId="0" fontId="0" fillId="0" borderId="25" xfId="0" applyBorder="1"/>
    <xf numFmtId="0" fontId="0" fillId="0" borderId="26" xfId="0" applyBorder="1"/>
    <xf numFmtId="0" fontId="0" fillId="0" borderId="8" xfId="0" applyBorder="1"/>
    <xf numFmtId="0" fontId="1" fillId="0" borderId="23" xfId="0" applyFont="1" applyBorder="1"/>
    <xf numFmtId="0" fontId="0" fillId="0" borderId="27" xfId="0" applyBorder="1"/>
    <xf numFmtId="0" fontId="0" fillId="0" borderId="28" xfId="0" applyBorder="1"/>
    <xf numFmtId="0" fontId="1" fillId="0" borderId="24" xfId="0" applyFont="1" applyBorder="1"/>
    <xf numFmtId="166" fontId="0" fillId="0" borderId="0" xfId="0" applyNumberFormat="1"/>
    <xf numFmtId="1" fontId="1" fillId="0" borderId="0" xfId="0" applyNumberFormat="1" applyFont="1"/>
    <xf numFmtId="1" fontId="0" fillId="0" borderId="0" xfId="0" applyNumberFormat="1"/>
    <xf numFmtId="2" fontId="0" fillId="0" borderId="0" xfId="0" applyNumberFormat="1"/>
    <xf numFmtId="9" fontId="0" fillId="0" borderId="0" xfId="0" applyNumberFormat="1"/>
    <xf numFmtId="3" fontId="0" fillId="0" borderId="17" xfId="0" applyNumberFormat="1" applyBorder="1"/>
    <xf numFmtId="0" fontId="1" fillId="0" borderId="29" xfId="0" applyFont="1" applyBorder="1"/>
    <xf numFmtId="3" fontId="0" fillId="0" borderId="25" xfId="0" applyNumberFormat="1" applyBorder="1"/>
    <xf numFmtId="165" fontId="0" fillId="0" borderId="25" xfId="0" applyNumberFormat="1" applyBorder="1"/>
    <xf numFmtId="9" fontId="0" fillId="0" borderId="25" xfId="0" applyNumberFormat="1" applyBorder="1"/>
    <xf numFmtId="0" fontId="5" fillId="0" borderId="30" xfId="0" applyFont="1" applyBorder="1"/>
    <xf numFmtId="165" fontId="5" fillId="0" borderId="10" xfId="0" applyNumberFormat="1" applyFont="1" applyBorder="1"/>
    <xf numFmtId="0" fontId="1" fillId="0" borderId="12" xfId="0" applyFont="1" applyBorder="1"/>
    <xf numFmtId="0" fontId="5" fillId="0" borderId="31" xfId="0" applyFont="1" applyBorder="1"/>
    <xf numFmtId="0" fontId="1" fillId="0" borderId="14" xfId="0" applyFont="1" applyBorder="1"/>
    <xf numFmtId="0" fontId="5" fillId="0" borderId="32" xfId="0" applyFont="1" applyBorder="1"/>
    <xf numFmtId="0" fontId="5" fillId="0" borderId="17" xfId="0" applyFont="1" applyBorder="1"/>
    <xf numFmtId="0" fontId="1" fillId="0" borderId="18" xfId="0" applyFont="1" applyBorder="1"/>
    <xf numFmtId="0" fontId="1" fillId="2" borderId="2" xfId="0" applyFont="1" applyFill="1" applyBorder="1" applyProtection="1">
      <protection locked="0"/>
    </xf>
    <xf numFmtId="3" fontId="1" fillId="2" borderId="2" xfId="0" applyNumberFormat="1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165" fontId="1" fillId="2" borderId="2" xfId="0" applyNumberFormat="1" applyFont="1" applyFill="1" applyBorder="1" applyProtection="1">
      <protection locked="0"/>
    </xf>
    <xf numFmtId="0" fontId="9" fillId="0" borderId="33" xfId="0" applyFont="1" applyBorder="1"/>
    <xf numFmtId="0" fontId="0" fillId="3" borderId="0" xfId="0" applyFill="1"/>
    <xf numFmtId="0" fontId="10" fillId="2" borderId="33" xfId="2" applyNumberFormat="1" applyFont="1" applyFill="1" applyBorder="1"/>
    <xf numFmtId="0" fontId="11" fillId="0" borderId="0" xfId="0" applyFont="1" applyAlignment="1">
      <alignment horizontal="left" wrapText="1"/>
    </xf>
    <xf numFmtId="0" fontId="9" fillId="6" borderId="33" xfId="0" applyFont="1" applyFill="1" applyBorder="1"/>
    <xf numFmtId="0" fontId="9" fillId="6" borderId="33" xfId="0" applyFont="1" applyFill="1" applyBorder="1" applyAlignment="1">
      <alignment horizontal="right"/>
    </xf>
    <xf numFmtId="0" fontId="9" fillId="6" borderId="33" xfId="0" applyFont="1" applyFill="1" applyBorder="1" applyAlignment="1">
      <alignment horizontal="right" vertical="center"/>
    </xf>
    <xf numFmtId="0" fontId="9" fillId="6" borderId="33" xfId="0" applyFont="1" applyFill="1" applyBorder="1" applyAlignment="1">
      <alignment horizontal="right" vertical="center" wrapText="1"/>
    </xf>
    <xf numFmtId="0" fontId="9" fillId="6" borderId="8" xfId="0" applyFont="1" applyFill="1" applyBorder="1" applyAlignment="1">
      <alignment wrapText="1"/>
    </xf>
    <xf numFmtId="0" fontId="9" fillId="6" borderId="15" xfId="0" applyFont="1" applyFill="1" applyBorder="1" applyAlignment="1">
      <alignment wrapText="1"/>
    </xf>
    <xf numFmtId="0" fontId="0" fillId="0" borderId="0" xfId="0" applyAlignment="1">
      <alignment wrapText="1"/>
    </xf>
    <xf numFmtId="0" fontId="9" fillId="5" borderId="2" xfId="0" applyFont="1" applyFill="1" applyBorder="1" applyAlignment="1">
      <alignment wrapText="1"/>
    </xf>
    <xf numFmtId="0" fontId="0" fillId="4" borderId="34" xfId="0" applyFill="1" applyBorder="1" applyAlignment="1">
      <alignment wrapText="1"/>
    </xf>
    <xf numFmtId="0" fontId="0" fillId="4" borderId="35" xfId="0" applyFill="1" applyBorder="1" applyAlignment="1">
      <alignment wrapText="1"/>
    </xf>
    <xf numFmtId="0" fontId="9" fillId="6" borderId="33" xfId="0" applyFont="1" applyFill="1" applyBorder="1" applyAlignment="1">
      <alignment wrapText="1"/>
    </xf>
    <xf numFmtId="0" fontId="8" fillId="0" borderId="33" xfId="0" applyFont="1" applyBorder="1" applyAlignment="1">
      <alignment wrapText="1"/>
    </xf>
    <xf numFmtId="0" fontId="0" fillId="3" borderId="0" xfId="0" applyFill="1" applyAlignment="1">
      <alignment wrapText="1"/>
    </xf>
    <xf numFmtId="0" fontId="9" fillId="0" borderId="33" xfId="0" applyFont="1" applyBorder="1" applyAlignment="1">
      <alignment wrapText="1"/>
    </xf>
    <xf numFmtId="0" fontId="9" fillId="6" borderId="33" xfId="0" applyFont="1" applyFill="1" applyBorder="1" applyAlignment="1">
      <alignment vertical="center" wrapText="1"/>
    </xf>
    <xf numFmtId="10" fontId="10" fillId="2" borderId="33" xfId="1" applyNumberFormat="1" applyFont="1" applyFill="1" applyBorder="1"/>
    <xf numFmtId="0" fontId="10" fillId="2" borderId="38" xfId="2" applyNumberFormat="1" applyFont="1" applyFill="1" applyBorder="1"/>
    <xf numFmtId="0" fontId="10" fillId="2" borderId="39" xfId="2" applyNumberFormat="1" applyFont="1" applyFill="1" applyBorder="1"/>
    <xf numFmtId="0" fontId="10" fillId="2" borderId="40" xfId="2" applyNumberFormat="1" applyFont="1" applyFill="1" applyBorder="1"/>
    <xf numFmtId="0" fontId="10" fillId="2" borderId="41" xfId="2" applyNumberFormat="1" applyFont="1" applyFill="1" applyBorder="1"/>
    <xf numFmtId="10" fontId="10" fillId="7" borderId="33" xfId="1" applyNumberFormat="1" applyFont="1" applyFill="1" applyBorder="1"/>
    <xf numFmtId="0" fontId="8" fillId="0" borderId="33" xfId="0" applyFont="1" applyBorder="1" applyAlignment="1">
      <alignment horizontal="left" wrapText="1"/>
    </xf>
    <xf numFmtId="167" fontId="0" fillId="0" borderId="33" xfId="2" applyNumberFormat="1" applyFont="1" applyBorder="1"/>
    <xf numFmtId="0" fontId="12" fillId="0" borderId="0" xfId="3" applyFill="1"/>
    <xf numFmtId="0" fontId="9" fillId="6" borderId="33" xfId="0" quotePrefix="1" applyFont="1" applyFill="1" applyBorder="1"/>
    <xf numFmtId="0" fontId="5" fillId="0" borderId="8" xfId="0" applyFont="1" applyBorder="1"/>
    <xf numFmtId="0" fontId="5" fillId="0" borderId="0" xfId="0" applyFont="1"/>
    <xf numFmtId="9" fontId="5" fillId="0" borderId="0" xfId="0" applyNumberFormat="1" applyFont="1"/>
    <xf numFmtId="3" fontId="5" fillId="0" borderId="0" xfId="0" applyNumberFormat="1" applyFont="1"/>
    <xf numFmtId="0" fontId="10" fillId="2" borderId="36" xfId="2" applyNumberFormat="1" applyFont="1" applyFill="1" applyBorder="1" applyProtection="1">
      <protection locked="0"/>
    </xf>
    <xf numFmtId="0" fontId="10" fillId="2" borderId="37" xfId="2" applyNumberFormat="1" applyFont="1" applyFill="1" applyBorder="1" applyProtection="1">
      <protection locked="0"/>
    </xf>
    <xf numFmtId="0" fontId="10" fillId="2" borderId="33" xfId="2" applyNumberFormat="1" applyFont="1" applyFill="1" applyBorder="1" applyProtection="1">
      <protection locked="0"/>
    </xf>
    <xf numFmtId="0" fontId="0" fillId="8" borderId="33" xfId="0" applyFill="1" applyBorder="1" applyProtection="1">
      <protection locked="0"/>
    </xf>
    <xf numFmtId="0" fontId="10" fillId="2" borderId="33" xfId="1" applyNumberFormat="1" applyFont="1" applyFill="1" applyBorder="1" applyProtection="1">
      <protection locked="0"/>
    </xf>
    <xf numFmtId="0" fontId="10" fillId="8" borderId="33" xfId="2" applyNumberFormat="1" applyFont="1" applyFill="1" applyBorder="1" applyProtection="1">
      <protection locked="0"/>
    </xf>
    <xf numFmtId="1" fontId="1" fillId="9" borderId="2" xfId="0" applyNumberFormat="1" applyFont="1" applyFill="1" applyBorder="1"/>
  </cellXfs>
  <cellStyles count="4">
    <cellStyle name="Comma" xfId="2" builtinId="3"/>
    <cellStyle name="Hyperlink" xfId="3" builtinId="8"/>
    <cellStyle name="Normal" xfId="0" builtinId="0"/>
    <cellStyle name="Per cent" xfId="1" builtinId="5"/>
  </cellStyles>
  <dxfs count="0"/>
  <tableStyles count="0" defaultTableStyle="TableStyleMedium2" defaultPivotStyle="PivotStyleLight16"/>
  <colors>
    <mruColors>
      <color rgb="FFCCEC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chartsheet" Target="chartsheets/sheet9.xml"/><Relationship Id="rId18" Type="http://schemas.openxmlformats.org/officeDocument/2006/relationships/chartsheet" Target="chartsheets/sheet14.xml"/><Relationship Id="rId26" Type="http://schemas.openxmlformats.org/officeDocument/2006/relationships/customXml" Target="../customXml/item3.xml"/><Relationship Id="rId3" Type="http://schemas.openxmlformats.org/officeDocument/2006/relationships/chartsheet" Target="chartsheets/sheet1.xml"/><Relationship Id="rId21" Type="http://schemas.openxmlformats.org/officeDocument/2006/relationships/styles" Target="styles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8.xml"/><Relationship Id="rId17" Type="http://schemas.openxmlformats.org/officeDocument/2006/relationships/chartsheet" Target="chartsheets/sheet13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12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hartsheet" Target="chartsheets/sheet7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3.xml"/><Relationship Id="rId15" Type="http://schemas.openxmlformats.org/officeDocument/2006/relationships/chartsheet" Target="chartsheets/sheet11.xml"/><Relationship Id="rId23" Type="http://schemas.openxmlformats.org/officeDocument/2006/relationships/calcChain" Target="calcChain.xml"/><Relationship Id="rId10" Type="http://schemas.openxmlformats.org/officeDocument/2006/relationships/chartsheet" Target="chartsheets/sheet6.xml"/><Relationship Id="rId19" Type="http://schemas.openxmlformats.org/officeDocument/2006/relationships/chartsheet" Target="chartsheets/sheet15.xml"/><Relationship Id="rId4" Type="http://schemas.openxmlformats.org/officeDocument/2006/relationships/chartsheet" Target="chartsheets/sheet2.xml"/><Relationship Id="rId9" Type="http://schemas.openxmlformats.org/officeDocument/2006/relationships/chartsheet" Target="chartsheets/sheet5.xml"/><Relationship Id="rId14" Type="http://schemas.openxmlformats.org/officeDocument/2006/relationships/chartsheet" Target="chartsheets/sheet10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2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6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Jaarlijkse</a:t>
            </a:r>
            <a:r>
              <a:rPr lang="nl-NL" baseline="0"/>
              <a:t> </a:t>
            </a:r>
            <a:r>
              <a:rPr lang="nl-NL"/>
              <a:t>CO2</a:t>
            </a:r>
            <a:r>
              <a:rPr lang="nl-NL" baseline="0"/>
              <a:t> uitstoot</a:t>
            </a: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REKENBLAD!$B$222</c:f>
              <c:strCache>
                <c:ptCount val="1"/>
                <c:pt idx="0">
                  <c:v>CO2 uitstoot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REKENBLAD!$C$221:$D$221</c:f>
              <c:strCache>
                <c:ptCount val="2"/>
                <c:pt idx="0">
                  <c:v>Huidig</c:v>
                </c:pt>
                <c:pt idx="1">
                  <c:v>Nieuw</c:v>
                </c:pt>
              </c:strCache>
            </c:strRef>
          </c:cat>
          <c:val>
            <c:numRef>
              <c:f>REKENBLAD!$C$222:$D$222</c:f>
              <c:numCache>
                <c:formatCode>0.0</c:formatCode>
                <c:ptCount val="2"/>
                <c:pt idx="0">
                  <c:v>113.4072</c:v>
                </c:pt>
                <c:pt idx="1">
                  <c:v>47.027200000000015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D2-184F-852D-A272346D5E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92087615"/>
        <c:axId val="1546844159"/>
      </c:barChart>
      <c:catAx>
        <c:axId val="1192087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6844159"/>
        <c:crosses val="autoZero"/>
        <c:auto val="1"/>
        <c:lblAlgn val="ctr"/>
        <c:lblOffset val="100"/>
        <c:noMultiLvlLbl val="0"/>
      </c:catAx>
      <c:valAx>
        <c:axId val="1546844159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CO2 uitstoot [ton/jaar]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0876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Heeft u tijdens uw verblijf iets gemerkt van de duurzame innovaties?</a:t>
            </a:r>
          </a:p>
        </c:rich>
      </c:tx>
      <c:layout>
        <c:manualLayout>
          <c:xMode val="edge"/>
          <c:yMode val="edge"/>
          <c:x val="0.22389172544260677"/>
          <c:y val="2.92791869278475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39E-694F-86DD-F931D567AF8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39E-694F-86DD-F931D567AF8A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'VRAGENLIJST (2)'!$B$60:$C$60</c:f>
              <c:strCache>
                <c:ptCount val="2"/>
                <c:pt idx="0">
                  <c:v>ja</c:v>
                </c:pt>
                <c:pt idx="1">
                  <c:v>neen</c:v>
                </c:pt>
              </c:strCache>
            </c:strRef>
          </c:cat>
          <c:val>
            <c:numRef>
              <c:f>'VRAGENLIJST (2)'!$B$61:$C$61</c:f>
              <c:numCache>
                <c:formatCode>0.00%</c:formatCode>
                <c:ptCount val="2"/>
                <c:pt idx="0">
                  <c:v>0.5736434108527132</c:v>
                </c:pt>
                <c:pt idx="1">
                  <c:v>0.4263565891472868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39E-694F-86DD-F931D567AF8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Hoe beoordeelt u de impact van de duurzame innovaties op uw beleving?</a:t>
            </a:r>
          </a:p>
        </c:rich>
      </c:tx>
      <c:layout>
        <c:manualLayout>
          <c:xMode val="edge"/>
          <c:yMode val="edge"/>
          <c:x val="0.22389172544260677"/>
          <c:y val="2.92791869278475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BF3-3E45-B763-808B0C1672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BF3-3E45-B763-808B0C16721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BF3-3E45-B763-808B0C16721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BF3-3E45-B763-808B0C16721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BF3-3E45-B763-808B0C16721E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'VRAGENLIJST (2)'!$B$72:$F$72</c:f>
              <c:strCache>
                <c:ptCount val="5"/>
                <c:pt idx="0">
                  <c:v>--</c:v>
                </c:pt>
                <c:pt idx="1">
                  <c:v>-</c:v>
                </c:pt>
                <c:pt idx="2">
                  <c:v>-/+</c:v>
                </c:pt>
                <c:pt idx="3">
                  <c:v>+</c:v>
                </c:pt>
                <c:pt idx="4">
                  <c:v>++</c:v>
                </c:pt>
              </c:strCache>
            </c:strRef>
          </c:cat>
          <c:val>
            <c:numRef>
              <c:f>'VRAGENLIJST (2)'!$B$73:$F$73</c:f>
              <c:numCache>
                <c:formatCode>0.00%</c:formatCode>
                <c:ptCount val="5"/>
                <c:pt idx="0">
                  <c:v>0.12844036697247707</c:v>
                </c:pt>
                <c:pt idx="1">
                  <c:v>0.22935779816513763</c:v>
                </c:pt>
                <c:pt idx="2">
                  <c:v>0.12232415902140673</c:v>
                </c:pt>
                <c:pt idx="3">
                  <c:v>0.31192660550458717</c:v>
                </c:pt>
                <c:pt idx="4">
                  <c:v>0.20795107033639143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BF3-3E45-B763-808B0C16721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Hoe beoordeelt u de impact van de duurzame innovaties op uw beleving?</a:t>
            </a:r>
          </a:p>
        </c:rich>
      </c:tx>
      <c:layout>
        <c:manualLayout>
          <c:xMode val="edge"/>
          <c:yMode val="edge"/>
          <c:x val="0.22389172544260677"/>
          <c:y val="2.92791869278475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DBA-CA45-AF2E-F7CC45CF743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DBA-CA45-AF2E-F7CC45CF743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DBA-CA45-AF2E-F7CC45CF743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DBA-CA45-AF2E-F7CC45CF743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DBA-CA45-AF2E-F7CC45CF743C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'VRAGENLIJST (2)'!$B$75:$F$75</c:f>
              <c:strCache>
                <c:ptCount val="5"/>
                <c:pt idx="0">
                  <c:v>--</c:v>
                </c:pt>
                <c:pt idx="1">
                  <c:v>-</c:v>
                </c:pt>
                <c:pt idx="2">
                  <c:v>-/+</c:v>
                </c:pt>
                <c:pt idx="3">
                  <c:v>+</c:v>
                </c:pt>
                <c:pt idx="4">
                  <c:v>++</c:v>
                </c:pt>
              </c:strCache>
            </c:strRef>
          </c:cat>
          <c:val>
            <c:numRef>
              <c:f>'VRAGENLIJST (2)'!$B$76:$F$76</c:f>
              <c:numCache>
                <c:formatCode>0.00%</c:formatCode>
                <c:ptCount val="5"/>
                <c:pt idx="0">
                  <c:v>7.6923076923076927E-2</c:v>
                </c:pt>
                <c:pt idx="1">
                  <c:v>9.2307692307692313E-2</c:v>
                </c:pt>
                <c:pt idx="2">
                  <c:v>0.12820512820512819</c:v>
                </c:pt>
                <c:pt idx="3">
                  <c:v>0.37948717948717947</c:v>
                </c:pt>
                <c:pt idx="4">
                  <c:v>0.32307692307692309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DBA-CA45-AF2E-F7CC45CF743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'VRAGENLIJST (2)'!$B$1</c:f>
          <c:strCache>
            <c:ptCount val="1"/>
            <c:pt idx="0">
              <c:v>2022</c:v>
            </c:pt>
          </c:strCache>
        </c:strRef>
      </c:tx>
      <c:layout>
        <c:manualLayout>
          <c:xMode val="edge"/>
          <c:yMode val="edge"/>
          <c:x val="0.5905472419891471"/>
          <c:y val="1.41377843976747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5096438446926423E-2"/>
          <c:y val="7.4910060472822212E-2"/>
          <c:w val="0.89878934602353755"/>
          <c:h val="0.7654773752511484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'VRAGENLIJST (2)'!$B$89</c:f>
              <c:strCache>
                <c:ptCount val="1"/>
                <c:pt idx="0">
                  <c:v>helemaal oneens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'VRAGENLIJST (2)'!$A$90:$A$91</c:f>
              <c:strCache>
                <c:ptCount val="2"/>
                <c:pt idx="0">
                  <c:v>Ik ga bewuster om met energie op de camping</c:v>
                </c:pt>
                <c:pt idx="1">
                  <c:v>Ik plan bewuster met energie om te gaan als ik weer thuis ben</c:v>
                </c:pt>
              </c:strCache>
            </c:strRef>
          </c:cat>
          <c:val>
            <c:numRef>
              <c:f>'VRAGENLIJST (2)'!$B$90:$B$91</c:f>
              <c:numCache>
                <c:formatCode>0.00%</c:formatCode>
                <c:ptCount val="2"/>
                <c:pt idx="0">
                  <c:v>0.11650485436893204</c:v>
                </c:pt>
                <c:pt idx="1">
                  <c:v>0.15151515151515152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D6-A049-8123-E42620EA5E70}"/>
            </c:ext>
          </c:extLst>
        </c:ser>
        <c:ser>
          <c:idx val="1"/>
          <c:order val="1"/>
          <c:tx>
            <c:strRef>
              <c:f>'VRAGENLIJST (2)'!$C$89</c:f>
              <c:strCache>
                <c:ptCount val="1"/>
                <c:pt idx="0">
                  <c:v>oneens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'VRAGENLIJST (2)'!$A$90:$A$91</c:f>
              <c:strCache>
                <c:ptCount val="2"/>
                <c:pt idx="0">
                  <c:v>Ik ga bewuster om met energie op de camping</c:v>
                </c:pt>
                <c:pt idx="1">
                  <c:v>Ik plan bewuster met energie om te gaan als ik weer thuis ben</c:v>
                </c:pt>
              </c:strCache>
            </c:strRef>
          </c:cat>
          <c:val>
            <c:numRef>
              <c:f>'VRAGENLIJST (2)'!$C$90:$C$91</c:f>
              <c:numCache>
                <c:formatCode>0.00%</c:formatCode>
                <c:ptCount val="2"/>
                <c:pt idx="0">
                  <c:v>0.13592233009708737</c:v>
                </c:pt>
                <c:pt idx="1">
                  <c:v>0.24242424242424243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D6-A049-8123-E42620EA5E70}"/>
            </c:ext>
          </c:extLst>
        </c:ser>
        <c:ser>
          <c:idx val="2"/>
          <c:order val="2"/>
          <c:tx>
            <c:strRef>
              <c:f>'VRAGENLIJST (2)'!$D$89</c:f>
              <c:strCache>
                <c:ptCount val="1"/>
                <c:pt idx="0">
                  <c:v>niet oneens / niet eens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'VRAGENLIJST (2)'!$A$90:$A$91</c:f>
              <c:strCache>
                <c:ptCount val="2"/>
                <c:pt idx="0">
                  <c:v>Ik ga bewuster om met energie op de camping</c:v>
                </c:pt>
                <c:pt idx="1">
                  <c:v>Ik plan bewuster met energie om te gaan als ik weer thuis ben</c:v>
                </c:pt>
              </c:strCache>
            </c:strRef>
          </c:cat>
          <c:val>
            <c:numRef>
              <c:f>'VRAGENLIJST (2)'!$D$90:$D$91</c:f>
              <c:numCache>
                <c:formatCode>0.00%</c:formatCode>
                <c:ptCount val="2"/>
                <c:pt idx="0">
                  <c:v>0.52427184466019416</c:v>
                </c:pt>
                <c:pt idx="1">
                  <c:v>0.35353535353535354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D6-A049-8123-E42620EA5E70}"/>
            </c:ext>
          </c:extLst>
        </c:ser>
        <c:ser>
          <c:idx val="3"/>
          <c:order val="3"/>
          <c:tx>
            <c:strRef>
              <c:f>'VRAGENLIJST (2)'!$E$89</c:f>
              <c:strCache>
                <c:ptCount val="1"/>
                <c:pt idx="0">
                  <c:v>eens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'VRAGENLIJST (2)'!$A$90:$A$91</c:f>
              <c:strCache>
                <c:ptCount val="2"/>
                <c:pt idx="0">
                  <c:v>Ik ga bewuster om met energie op de camping</c:v>
                </c:pt>
                <c:pt idx="1">
                  <c:v>Ik plan bewuster met energie om te gaan als ik weer thuis ben</c:v>
                </c:pt>
              </c:strCache>
            </c:strRef>
          </c:cat>
          <c:val>
            <c:numRef>
              <c:f>'VRAGENLIJST (2)'!$E$90:$E$91</c:f>
              <c:numCache>
                <c:formatCode>0.00%</c:formatCode>
                <c:ptCount val="2"/>
                <c:pt idx="0">
                  <c:v>0.14563106796116504</c:v>
                </c:pt>
                <c:pt idx="1">
                  <c:v>4.0404040404040407E-2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D6-A049-8123-E42620EA5E70}"/>
            </c:ext>
          </c:extLst>
        </c:ser>
        <c:ser>
          <c:idx val="4"/>
          <c:order val="4"/>
          <c:tx>
            <c:strRef>
              <c:f>'VRAGENLIJST (2)'!$F$89</c:f>
              <c:strCache>
                <c:ptCount val="1"/>
                <c:pt idx="0">
                  <c:v>helemaal eens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'VRAGENLIJST (2)'!$A$90:$A$91</c:f>
              <c:strCache>
                <c:ptCount val="2"/>
                <c:pt idx="0">
                  <c:v>Ik ga bewuster om met energie op de camping</c:v>
                </c:pt>
                <c:pt idx="1">
                  <c:v>Ik plan bewuster met energie om te gaan als ik weer thuis ben</c:v>
                </c:pt>
              </c:strCache>
            </c:strRef>
          </c:cat>
          <c:val>
            <c:numRef>
              <c:f>'VRAGENLIJST (2)'!$F$90:$F$91</c:f>
              <c:numCache>
                <c:formatCode>0.00%</c:formatCode>
                <c:ptCount val="2"/>
                <c:pt idx="0">
                  <c:v>7.7669902912621352E-2</c:v>
                </c:pt>
                <c:pt idx="1">
                  <c:v>0.21212121212121213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D6-A049-8123-E42620EA5E70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87529647"/>
        <c:axId val="1581822223"/>
      </c:barChart>
      <c:catAx>
        <c:axId val="15875296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1822223"/>
        <c:crosses val="autoZero"/>
        <c:auto val="1"/>
        <c:lblAlgn val="ctr"/>
        <c:lblOffset val="100"/>
        <c:noMultiLvlLbl val="0"/>
      </c:catAx>
      <c:valAx>
        <c:axId val="15818222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75296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4">
        <a:lumMod val="20000"/>
        <a:lumOff val="80000"/>
        <a:alpha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'VRAGENLIJST (2)'!$C$1</c:f>
          <c:strCache>
            <c:ptCount val="1"/>
            <c:pt idx="0">
              <c:v>2023</c:v>
            </c:pt>
          </c:strCache>
        </c:strRef>
      </c:tx>
      <c:layout>
        <c:manualLayout>
          <c:xMode val="edge"/>
          <c:yMode val="edge"/>
          <c:x val="0.5905472419891471"/>
          <c:y val="1.41377843976747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5096438446926423E-2"/>
          <c:y val="7.4910060472822212E-2"/>
          <c:w val="0.89878934602353755"/>
          <c:h val="0.7654773752511484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'VRAGENLIJST (2)'!$B$93</c:f>
              <c:strCache>
                <c:ptCount val="1"/>
                <c:pt idx="0">
                  <c:v>helemaal oneens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'VRAGENLIJST (2)'!$A$94:$A$95</c:f>
              <c:strCache>
                <c:ptCount val="2"/>
                <c:pt idx="0">
                  <c:v>Ik ga bewuster om met energie op de camping</c:v>
                </c:pt>
                <c:pt idx="1">
                  <c:v>Ik plan bewuster met energie om te gaan als ik weer thuis ben</c:v>
                </c:pt>
              </c:strCache>
            </c:strRef>
          </c:cat>
          <c:val>
            <c:numRef>
              <c:f>'VRAGENLIJST (2)'!$B$94:$B$95</c:f>
              <c:numCache>
                <c:formatCode>0.00%</c:formatCode>
                <c:ptCount val="2"/>
                <c:pt idx="0">
                  <c:v>0.10714285714285714</c:v>
                </c:pt>
                <c:pt idx="1">
                  <c:v>0.15151515151515152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09-5B4B-9AE1-C73242BE00CA}"/>
            </c:ext>
          </c:extLst>
        </c:ser>
        <c:ser>
          <c:idx val="1"/>
          <c:order val="1"/>
          <c:tx>
            <c:strRef>
              <c:f>'VRAGENLIJST (2)'!$C$93</c:f>
              <c:strCache>
                <c:ptCount val="1"/>
                <c:pt idx="0">
                  <c:v>oneens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'VRAGENLIJST (2)'!$A$94:$A$95</c:f>
              <c:strCache>
                <c:ptCount val="2"/>
                <c:pt idx="0">
                  <c:v>Ik ga bewuster om met energie op de camping</c:v>
                </c:pt>
                <c:pt idx="1">
                  <c:v>Ik plan bewuster met energie om te gaan als ik weer thuis ben</c:v>
                </c:pt>
              </c:strCache>
            </c:strRef>
          </c:cat>
          <c:val>
            <c:numRef>
              <c:f>'VRAGENLIJST (2)'!$C$94:$C$95</c:f>
              <c:numCache>
                <c:formatCode>0.00%</c:formatCode>
                <c:ptCount val="2"/>
                <c:pt idx="0">
                  <c:v>0.125</c:v>
                </c:pt>
                <c:pt idx="1">
                  <c:v>0.24242424242424243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09-5B4B-9AE1-C73242BE00CA}"/>
            </c:ext>
          </c:extLst>
        </c:ser>
        <c:ser>
          <c:idx val="2"/>
          <c:order val="2"/>
          <c:tx>
            <c:strRef>
              <c:f>'VRAGENLIJST (2)'!$D$93</c:f>
              <c:strCache>
                <c:ptCount val="1"/>
                <c:pt idx="0">
                  <c:v>niet oneens / niet eens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'VRAGENLIJST (2)'!$A$94:$A$95</c:f>
              <c:strCache>
                <c:ptCount val="2"/>
                <c:pt idx="0">
                  <c:v>Ik ga bewuster om met energie op de camping</c:v>
                </c:pt>
                <c:pt idx="1">
                  <c:v>Ik plan bewuster met energie om te gaan als ik weer thuis ben</c:v>
                </c:pt>
              </c:strCache>
            </c:strRef>
          </c:cat>
          <c:val>
            <c:numRef>
              <c:f>'VRAGENLIJST (2)'!$D$94:$D$95</c:f>
              <c:numCache>
                <c:formatCode>0.00%</c:formatCode>
                <c:ptCount val="2"/>
                <c:pt idx="0">
                  <c:v>0.5982142857142857</c:v>
                </c:pt>
                <c:pt idx="1">
                  <c:v>0.35353535353535354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09-5B4B-9AE1-C73242BE00CA}"/>
            </c:ext>
          </c:extLst>
        </c:ser>
        <c:ser>
          <c:idx val="3"/>
          <c:order val="3"/>
          <c:tx>
            <c:strRef>
              <c:f>'VRAGENLIJST (2)'!$E$93</c:f>
              <c:strCache>
                <c:ptCount val="1"/>
                <c:pt idx="0">
                  <c:v>eens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'VRAGENLIJST (2)'!$A$94:$A$95</c:f>
              <c:strCache>
                <c:ptCount val="2"/>
                <c:pt idx="0">
                  <c:v>Ik ga bewuster om met energie op de camping</c:v>
                </c:pt>
                <c:pt idx="1">
                  <c:v>Ik plan bewuster met energie om te gaan als ik weer thuis ben</c:v>
                </c:pt>
              </c:strCache>
            </c:strRef>
          </c:cat>
          <c:val>
            <c:numRef>
              <c:f>'VRAGENLIJST (2)'!$E$94:$E$95</c:f>
              <c:numCache>
                <c:formatCode>0.00%</c:formatCode>
                <c:ptCount val="2"/>
                <c:pt idx="0">
                  <c:v>0.13392857142857142</c:v>
                </c:pt>
                <c:pt idx="1">
                  <c:v>4.0404040404040407E-2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09-5B4B-9AE1-C73242BE00CA}"/>
            </c:ext>
          </c:extLst>
        </c:ser>
        <c:ser>
          <c:idx val="4"/>
          <c:order val="4"/>
          <c:tx>
            <c:strRef>
              <c:f>'VRAGENLIJST (2)'!$F$93</c:f>
              <c:strCache>
                <c:ptCount val="1"/>
                <c:pt idx="0">
                  <c:v>helemaal eens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'VRAGENLIJST (2)'!$A$94:$A$95</c:f>
              <c:strCache>
                <c:ptCount val="2"/>
                <c:pt idx="0">
                  <c:v>Ik ga bewuster om met energie op de camping</c:v>
                </c:pt>
                <c:pt idx="1">
                  <c:v>Ik plan bewuster met energie om te gaan als ik weer thuis ben</c:v>
                </c:pt>
              </c:strCache>
            </c:strRef>
          </c:cat>
          <c:val>
            <c:numRef>
              <c:f>'VRAGENLIJST (2)'!$F$94:$F$95</c:f>
              <c:numCache>
                <c:formatCode>0.00%</c:formatCode>
                <c:ptCount val="2"/>
                <c:pt idx="0">
                  <c:v>3.5714285714285712E-2</c:v>
                </c:pt>
                <c:pt idx="1">
                  <c:v>0.21212121212121213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09-5B4B-9AE1-C73242BE00CA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87529647"/>
        <c:axId val="1581822223"/>
      </c:barChart>
      <c:catAx>
        <c:axId val="15875296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1822223"/>
        <c:crosses val="autoZero"/>
        <c:auto val="1"/>
        <c:lblAlgn val="ctr"/>
        <c:lblOffset val="100"/>
        <c:noMultiLvlLbl val="0"/>
      </c:catAx>
      <c:valAx>
        <c:axId val="15818222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75296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4">
        <a:lumMod val="20000"/>
        <a:lumOff val="80000"/>
        <a:alpha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CO2-reductie per overnachting</a:t>
            </a:r>
          </a:p>
        </c:rich>
      </c:tx>
      <c:layout>
        <c:manualLayout>
          <c:xMode val="edge"/>
          <c:yMode val="edge"/>
          <c:x val="0.27136858020957477"/>
          <c:y val="3.23149357661136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'VRAGENLIJST (2)'!$A$138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0571077647679804E-2"/>
                  <c:y val="2.01968348538202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B3-41B6-ADA1-6185C85B4DFF}"/>
                </c:ext>
              </c:extLst>
            </c:dLbl>
            <c:numFmt formatCode="0&quot; kg&quot;" sourceLinked="0"/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'VRAGENLIJST (2)'!$A$137:$B$137</c:f>
              <c:strCache>
                <c:ptCount val="2"/>
                <c:pt idx="0">
                  <c:v>CO2-reductie per onvernachting</c:v>
                </c:pt>
                <c:pt idx="1">
                  <c:v>aantal kilogram</c:v>
                </c:pt>
              </c:strCache>
            </c:strRef>
          </c:cat>
          <c:val>
            <c:numRef>
              <c:f>'VRAGENLIJST (2)'!$B$138</c:f>
              <c:numCache>
                <c:formatCode>_ * #,##0_ ;_ * \-#,##0_ ;_ * "-"??_ ;_ @_ </c:formatCode>
                <c:ptCount val="1"/>
                <c:pt idx="0">
                  <c:v>252.3954372623574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B3-41B6-ADA1-6185C85B4DFF}"/>
            </c:ext>
          </c:extLst>
        </c:ser>
        <c:ser>
          <c:idx val="1"/>
          <c:order val="1"/>
          <c:tx>
            <c:strRef>
              <c:f>'VRAGENLIJST (2)'!$A$139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7.7641220278673262E-2"/>
                  <c:y val="-2.0196834853821034E-3"/>
                </c:manualLayout>
              </c:layout>
              <c:numFmt formatCode="0&quot; kg&quot;" sourceLinked="0"/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B3-41B6-ADA1-6185C85B4DFF}"/>
                </c:ext>
              </c:extLst>
            </c:dLbl>
            <c:numFmt formatCode="0&quot; kg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'VRAGENLIJST (2)'!$A$137:$B$137</c:f>
              <c:strCache>
                <c:ptCount val="2"/>
                <c:pt idx="0">
                  <c:v>CO2-reductie per onvernachting</c:v>
                </c:pt>
                <c:pt idx="1">
                  <c:v>aantal kilogram</c:v>
                </c:pt>
              </c:strCache>
            </c:strRef>
          </c:cat>
          <c:val>
            <c:numRef>
              <c:f>'VRAGENLIJST (2)'!$B$139</c:f>
              <c:numCache>
                <c:formatCode>_ * #,##0_ ;_ * \-#,##0_ ;_ * "-"??_ ;_ @_ </c:formatCode>
                <c:ptCount val="1"/>
                <c:pt idx="0">
                  <c:v>147.18403547671841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B3-41B6-ADA1-6185C85B4D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60"/>
        <c:axId val="1841794607"/>
        <c:axId val="1841323359"/>
      </c:barChart>
      <c:catAx>
        <c:axId val="1841794607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41323359"/>
        <c:crosses val="autoZero"/>
        <c:auto val="1"/>
        <c:lblAlgn val="ctr"/>
        <c:lblOffset val="100"/>
        <c:noMultiLvlLbl val="0"/>
      </c:catAx>
      <c:valAx>
        <c:axId val="18413233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&quot; kg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1794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4">
        <a:lumMod val="20000"/>
        <a:lumOff val="80000"/>
        <a:alpha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Procentuele</a:t>
            </a:r>
            <a:r>
              <a:rPr lang="nl-NL" baseline="0"/>
              <a:t> bijdrage CO2-reductie</a:t>
            </a: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60E-2B43-9128-936475CBCD3D}"/>
              </c:ext>
            </c:extLst>
          </c:dPt>
          <c:cat>
            <c:strRef>
              <c:f>REKENBLAD!$B$225:$B$236</c:f>
              <c:strCache>
                <c:ptCount val="12"/>
                <c:pt idx="0">
                  <c:v>Zonnepanelen</c:v>
                </c:pt>
                <c:pt idx="1">
                  <c:v>Windturbines</c:v>
                </c:pt>
                <c:pt idx="2">
                  <c:v>Duurzame verwarming</c:v>
                </c:pt>
                <c:pt idx="3">
                  <c:v>Duurzame tapwateropwekking</c:v>
                </c:pt>
                <c:pt idx="4">
                  <c:v>Zonneboiler</c:v>
                </c:pt>
                <c:pt idx="5">
                  <c:v>Energiezuinige verlichting</c:v>
                </c:pt>
                <c:pt idx="6">
                  <c:v>Waterbesparende douches</c:v>
                </c:pt>
                <c:pt idx="7">
                  <c:v>Isolatie gevel</c:v>
                </c:pt>
                <c:pt idx="8">
                  <c:v>Isolatie vloer</c:v>
                </c:pt>
                <c:pt idx="9">
                  <c:v>Isolatie dak</c:v>
                </c:pt>
                <c:pt idx="10">
                  <c:v>Isolerende beglazing</c:v>
                </c:pt>
                <c:pt idx="11">
                  <c:v>TOTAAL</c:v>
                </c:pt>
              </c:strCache>
            </c:strRef>
          </c:cat>
          <c:val>
            <c:numRef>
              <c:f>REKENBLAD!$E$225:$E$236</c:f>
              <c:numCache>
                <c:formatCode>0%</c:formatCode>
                <c:ptCount val="12"/>
                <c:pt idx="0">
                  <c:v>0.33507572711432781</c:v>
                </c:pt>
                <c:pt idx="1">
                  <c:v>0</c:v>
                </c:pt>
                <c:pt idx="2">
                  <c:v>7.0542258339858485E-2</c:v>
                </c:pt>
                <c:pt idx="3">
                  <c:v>3.7916463857673943E-2</c:v>
                </c:pt>
                <c:pt idx="4">
                  <c:v>3.1744016252936325E-2</c:v>
                </c:pt>
                <c:pt idx="5">
                  <c:v>5.7315584901135024E-2</c:v>
                </c:pt>
                <c:pt idx="6">
                  <c:v>7.054225833985849E-3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4.567611227505837E-2</c:v>
                </c:pt>
                <c:pt idx="11">
                  <c:v>0.58532438857497582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0E-2B43-9128-936475CBC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5643055"/>
        <c:axId val="460165151"/>
      </c:barChart>
      <c:catAx>
        <c:axId val="7456430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0165151"/>
        <c:crosses val="autoZero"/>
        <c:auto val="1"/>
        <c:lblAlgn val="ctr"/>
        <c:lblOffset val="100"/>
        <c:noMultiLvlLbl val="0"/>
      </c:catAx>
      <c:valAx>
        <c:axId val="460165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56430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c:style val="2"/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catAx>
        <c:axId val="1"/>
        <c:scaling>
          <c:orientation val="minMax"/>
        </c:scaling>
        <c:delete val="0"/>
        <c:axPos val="b"/>
        <c:majorTickMark val="out"/>
        <c:minorTickMark val="none"/>
        <c:tickLblPos val="nextTo"/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'VRAGENLIJST (2)'!$B$1</c:f>
          <c:strCache>
            <c:ptCount val="1"/>
            <c:pt idx="0">
              <c:v>2022</c:v>
            </c:pt>
          </c:strCache>
        </c:strRef>
      </c:tx>
      <c:layout>
        <c:manualLayout>
          <c:xMode val="edge"/>
          <c:yMode val="edge"/>
          <c:x val="0.5905472419891471"/>
          <c:y val="1.41377843976747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5096438446926423E-2"/>
          <c:y val="7.4910060472822212E-2"/>
          <c:w val="0.89878934602353755"/>
          <c:h val="0.7654773752511484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'VRAGENLIJST (2)'!$B$4</c:f>
              <c:strCache>
                <c:ptCount val="1"/>
                <c:pt idx="0">
                  <c:v>helemaal oneens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&quot;%&quot;" sourceLinked="0"/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'VRAGENLIJST (2)'!$A$5:$A$9</c:f>
              <c:strCache>
                <c:ptCount val="5"/>
                <c:pt idx="0">
                  <c:v>De opwarming van de aarde is een probleem dat mijn leven en dat van mijn kinderen ernstig gaat bedreigen</c:v>
                </c:pt>
                <c:pt idx="1">
                  <c:v>Ik heb er begrip voor dat campings maatregelen nemen om te verduurzamen.</c:v>
                </c:pt>
                <c:pt idx="2">
                  <c:v>Ik bezoek liever campings die maatregelen nemen om te verduurzamen, dan campings die daar niet mee bezig zijn.</c:v>
                </c:pt>
                <c:pt idx="3">
                  <c:v>Ik ben bereid om mijn gedrag op vakantie aan te passen als dat bijdraagt aan het beperken van klimaatverandering.</c:v>
                </c:pt>
                <c:pt idx="4">
                  <c:v>Ik ben bereid om meer te betalen voor mijn vakantie als dat bijdraagt aan het beperken van klimaatverandering.</c:v>
                </c:pt>
              </c:strCache>
            </c:strRef>
          </c:cat>
          <c:val>
            <c:numRef>
              <c:f>'VRAGENLIJST (2)'!$B$5:$B$9</c:f>
              <c:numCache>
                <c:formatCode>General</c:formatCode>
                <c:ptCount val="5"/>
                <c:pt idx="0">
                  <c:v>18</c:v>
                </c:pt>
                <c:pt idx="1">
                  <c:v>7</c:v>
                </c:pt>
                <c:pt idx="2">
                  <c:v>9</c:v>
                </c:pt>
                <c:pt idx="3">
                  <c:v>12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3B-4832-BCE2-508DE79EA682}"/>
            </c:ext>
          </c:extLst>
        </c:ser>
        <c:ser>
          <c:idx val="1"/>
          <c:order val="1"/>
          <c:tx>
            <c:strRef>
              <c:f>'VRAGENLIJST (2)'!$C$4</c:f>
              <c:strCache>
                <c:ptCount val="1"/>
                <c:pt idx="0">
                  <c:v>oneens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&quot;%&quot;" sourceLinked="0"/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'VRAGENLIJST (2)'!$A$5:$A$9</c:f>
              <c:strCache>
                <c:ptCount val="5"/>
                <c:pt idx="0">
                  <c:v>De opwarming van de aarde is een probleem dat mijn leven en dat van mijn kinderen ernstig gaat bedreigen</c:v>
                </c:pt>
                <c:pt idx="1">
                  <c:v>Ik heb er begrip voor dat campings maatregelen nemen om te verduurzamen.</c:v>
                </c:pt>
                <c:pt idx="2">
                  <c:v>Ik bezoek liever campings die maatregelen nemen om te verduurzamen, dan campings die daar niet mee bezig zijn.</c:v>
                </c:pt>
                <c:pt idx="3">
                  <c:v>Ik ben bereid om mijn gedrag op vakantie aan te passen als dat bijdraagt aan het beperken van klimaatverandering.</c:v>
                </c:pt>
                <c:pt idx="4">
                  <c:v>Ik ben bereid om meer te betalen voor mijn vakantie als dat bijdraagt aan het beperken van klimaatverandering.</c:v>
                </c:pt>
              </c:strCache>
            </c:strRef>
          </c:cat>
          <c:val>
            <c:numRef>
              <c:f>'VRAGENLIJST (2)'!$C$5:$C$9</c:f>
              <c:numCache>
                <c:formatCode>General</c:formatCode>
                <c:ptCount val="5"/>
                <c:pt idx="0">
                  <c:v>6</c:v>
                </c:pt>
                <c:pt idx="1">
                  <c:v>20</c:v>
                </c:pt>
                <c:pt idx="2">
                  <c:v>20</c:v>
                </c:pt>
                <c:pt idx="3">
                  <c:v>14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3B-4832-BCE2-508DE79EA682}"/>
            </c:ext>
          </c:extLst>
        </c:ser>
        <c:ser>
          <c:idx val="2"/>
          <c:order val="2"/>
          <c:tx>
            <c:strRef>
              <c:f>'VRAGENLIJST (2)'!$D$4</c:f>
              <c:strCache>
                <c:ptCount val="1"/>
                <c:pt idx="0">
                  <c:v>niet oneens / niet eens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&quot;%&quot;" sourceLinked="0"/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'VRAGENLIJST (2)'!$A$5:$A$9</c:f>
              <c:strCache>
                <c:ptCount val="5"/>
                <c:pt idx="0">
                  <c:v>De opwarming van de aarde is een probleem dat mijn leven en dat van mijn kinderen ernstig gaat bedreigen</c:v>
                </c:pt>
                <c:pt idx="1">
                  <c:v>Ik heb er begrip voor dat campings maatregelen nemen om te verduurzamen.</c:v>
                </c:pt>
                <c:pt idx="2">
                  <c:v>Ik bezoek liever campings die maatregelen nemen om te verduurzamen, dan campings die daar niet mee bezig zijn.</c:v>
                </c:pt>
                <c:pt idx="3">
                  <c:v>Ik ben bereid om mijn gedrag op vakantie aan te passen als dat bijdraagt aan het beperken van klimaatverandering.</c:v>
                </c:pt>
                <c:pt idx="4">
                  <c:v>Ik ben bereid om meer te betalen voor mijn vakantie als dat bijdraagt aan het beperken van klimaatverandering.</c:v>
                </c:pt>
              </c:strCache>
            </c:strRef>
          </c:cat>
          <c:val>
            <c:numRef>
              <c:f>'VRAGENLIJST (2)'!$D$5:$D$9</c:f>
              <c:numCache>
                <c:formatCode>General</c:formatCode>
                <c:ptCount val="5"/>
                <c:pt idx="0">
                  <c:v>21</c:v>
                </c:pt>
                <c:pt idx="1">
                  <c:v>60</c:v>
                </c:pt>
                <c:pt idx="2">
                  <c:v>40</c:v>
                </c:pt>
                <c:pt idx="3">
                  <c:v>67</c:v>
                </c:pt>
                <c:pt idx="4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3B-4832-BCE2-508DE79EA682}"/>
            </c:ext>
          </c:extLst>
        </c:ser>
        <c:ser>
          <c:idx val="3"/>
          <c:order val="3"/>
          <c:tx>
            <c:strRef>
              <c:f>'VRAGENLIJST (2)'!$E$4</c:f>
              <c:strCache>
                <c:ptCount val="1"/>
                <c:pt idx="0">
                  <c:v>eens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0&quot;%&quot;" sourceLinked="0"/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'VRAGENLIJST (2)'!$A$5:$A$9</c:f>
              <c:strCache>
                <c:ptCount val="5"/>
                <c:pt idx="0">
                  <c:v>De opwarming van de aarde is een probleem dat mijn leven en dat van mijn kinderen ernstig gaat bedreigen</c:v>
                </c:pt>
                <c:pt idx="1">
                  <c:v>Ik heb er begrip voor dat campings maatregelen nemen om te verduurzamen.</c:v>
                </c:pt>
                <c:pt idx="2">
                  <c:v>Ik bezoek liever campings die maatregelen nemen om te verduurzamen, dan campings die daar niet mee bezig zijn.</c:v>
                </c:pt>
                <c:pt idx="3">
                  <c:v>Ik ben bereid om mijn gedrag op vakantie aan te passen als dat bijdraagt aan het beperken van klimaatverandering.</c:v>
                </c:pt>
                <c:pt idx="4">
                  <c:v>Ik ben bereid om meer te betalen voor mijn vakantie als dat bijdraagt aan het beperken van klimaatverandering.</c:v>
                </c:pt>
              </c:strCache>
            </c:strRef>
          </c:cat>
          <c:val>
            <c:numRef>
              <c:f>'VRAGENLIJST (2)'!$E$5:$E$9</c:f>
              <c:numCache>
                <c:formatCode>General</c:formatCode>
                <c:ptCount val="5"/>
                <c:pt idx="0">
                  <c:v>8</c:v>
                </c:pt>
                <c:pt idx="1">
                  <c:v>15</c:v>
                </c:pt>
                <c:pt idx="2">
                  <c:v>75</c:v>
                </c:pt>
                <c:pt idx="3">
                  <c:v>15</c:v>
                </c:pt>
                <c:pt idx="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3B-4832-BCE2-508DE79EA682}"/>
            </c:ext>
          </c:extLst>
        </c:ser>
        <c:ser>
          <c:idx val="4"/>
          <c:order val="4"/>
          <c:tx>
            <c:strRef>
              <c:f>'VRAGENLIJST (2)'!$F$4</c:f>
              <c:strCache>
                <c:ptCount val="1"/>
                <c:pt idx="0">
                  <c:v>helemaal eens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numFmt formatCode="0&quot;%&quot;" sourceLinked="0"/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'VRAGENLIJST (2)'!$A$5:$A$9</c:f>
              <c:strCache>
                <c:ptCount val="5"/>
                <c:pt idx="0">
                  <c:v>De opwarming van de aarde is een probleem dat mijn leven en dat van mijn kinderen ernstig gaat bedreigen</c:v>
                </c:pt>
                <c:pt idx="1">
                  <c:v>Ik heb er begrip voor dat campings maatregelen nemen om te verduurzamen.</c:v>
                </c:pt>
                <c:pt idx="2">
                  <c:v>Ik bezoek liever campings die maatregelen nemen om te verduurzamen, dan campings die daar niet mee bezig zijn.</c:v>
                </c:pt>
                <c:pt idx="3">
                  <c:v>Ik ben bereid om mijn gedrag op vakantie aan te passen als dat bijdraagt aan het beperken van klimaatverandering.</c:v>
                </c:pt>
                <c:pt idx="4">
                  <c:v>Ik ben bereid om meer te betalen voor mijn vakantie als dat bijdraagt aan het beperken van klimaatverandering.</c:v>
                </c:pt>
              </c:strCache>
            </c:strRef>
          </c:cat>
          <c:val>
            <c:numRef>
              <c:f>'VRAGENLIJST (2)'!$F$5:$F$9</c:f>
              <c:numCache>
                <c:formatCode>General</c:formatCode>
                <c:ptCount val="5"/>
                <c:pt idx="0">
                  <c:v>5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3B-4832-BCE2-508DE79EA6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87529647"/>
        <c:axId val="1581822223"/>
      </c:barChart>
      <c:catAx>
        <c:axId val="15875296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1822223"/>
        <c:crosses val="autoZero"/>
        <c:auto val="1"/>
        <c:lblAlgn val="ctr"/>
        <c:lblOffset val="100"/>
        <c:noMultiLvlLbl val="0"/>
      </c:catAx>
      <c:valAx>
        <c:axId val="15818222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75296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4">
        <a:lumMod val="20000"/>
        <a:lumOff val="80000"/>
        <a:alpha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'VRAGENLIJST (2)'!$C$1</c:f>
          <c:strCache>
            <c:ptCount val="1"/>
            <c:pt idx="0">
              <c:v>2023</c:v>
            </c:pt>
          </c:strCache>
        </c:strRef>
      </c:tx>
      <c:layout>
        <c:manualLayout>
          <c:xMode val="edge"/>
          <c:yMode val="edge"/>
          <c:x val="0.5905472419891471"/>
          <c:y val="1.41377843976747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5096438446926423E-2"/>
          <c:y val="7.4910060472822212E-2"/>
          <c:w val="0.89878934602353755"/>
          <c:h val="0.7654773752511484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'VRAGENLIJST (2)'!$B$11</c:f>
              <c:strCache>
                <c:ptCount val="1"/>
                <c:pt idx="0">
                  <c:v>helemaal oneens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&quot;%&quot;" sourceLinked="0"/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'VRAGENLIJST (2)'!$A$12:$A$16</c:f>
              <c:strCache>
                <c:ptCount val="5"/>
                <c:pt idx="0">
                  <c:v>De opwarming van de aarde is een probleem dat mijn leven en dat van mijn kinderen ernstig gaat bedreigen</c:v>
                </c:pt>
                <c:pt idx="1">
                  <c:v>Ik heb er begrip voor dat campings maatregelen nemen om te verduurzamen.</c:v>
                </c:pt>
                <c:pt idx="2">
                  <c:v>Ik bezoek liever campings die maatregelen nemen om te verduurzamen, dan campings die daar niet mee bezig zijn.</c:v>
                </c:pt>
                <c:pt idx="3">
                  <c:v>Ik ben bereid om mijn gedrag op vakantie aan te passen als dat bijdraagt aan het beperken van klimaatverandering.</c:v>
                </c:pt>
                <c:pt idx="4">
                  <c:v>Ik ben bereid om meer te betalen voor mijn vakantie als dat bijdraagt aan het beperken van klimaatverandering.</c:v>
                </c:pt>
              </c:strCache>
            </c:strRef>
          </c:cat>
          <c:val>
            <c:numRef>
              <c:f>'VRAGENLIJST (2)'!$B$12:$B$16</c:f>
              <c:numCache>
                <c:formatCode>General</c:formatCode>
                <c:ptCount val="5"/>
                <c:pt idx="0">
                  <c:v>24</c:v>
                </c:pt>
                <c:pt idx="1">
                  <c:v>5</c:v>
                </c:pt>
                <c:pt idx="2">
                  <c:v>9</c:v>
                </c:pt>
                <c:pt idx="3">
                  <c:v>12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56-46FC-8571-15C075633CB0}"/>
            </c:ext>
          </c:extLst>
        </c:ser>
        <c:ser>
          <c:idx val="1"/>
          <c:order val="1"/>
          <c:tx>
            <c:strRef>
              <c:f>'VRAGENLIJST (2)'!$C$11</c:f>
              <c:strCache>
                <c:ptCount val="1"/>
                <c:pt idx="0">
                  <c:v>oneens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&quot;%&quot;" sourceLinked="0"/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'VRAGENLIJST (2)'!$A$12:$A$16</c:f>
              <c:strCache>
                <c:ptCount val="5"/>
                <c:pt idx="0">
                  <c:v>De opwarming van de aarde is een probleem dat mijn leven en dat van mijn kinderen ernstig gaat bedreigen</c:v>
                </c:pt>
                <c:pt idx="1">
                  <c:v>Ik heb er begrip voor dat campings maatregelen nemen om te verduurzamen.</c:v>
                </c:pt>
                <c:pt idx="2">
                  <c:v>Ik bezoek liever campings die maatregelen nemen om te verduurzamen, dan campings die daar niet mee bezig zijn.</c:v>
                </c:pt>
                <c:pt idx="3">
                  <c:v>Ik ben bereid om mijn gedrag op vakantie aan te passen als dat bijdraagt aan het beperken van klimaatverandering.</c:v>
                </c:pt>
                <c:pt idx="4">
                  <c:v>Ik ben bereid om meer te betalen voor mijn vakantie als dat bijdraagt aan het beperken van klimaatverandering.</c:v>
                </c:pt>
              </c:strCache>
            </c:strRef>
          </c:cat>
          <c:val>
            <c:numRef>
              <c:f>'VRAGENLIJST (2)'!$C$12:$C$16</c:f>
              <c:numCache>
                <c:formatCode>General</c:formatCode>
                <c:ptCount val="5"/>
                <c:pt idx="0">
                  <c:v>6</c:v>
                </c:pt>
                <c:pt idx="1">
                  <c:v>20</c:v>
                </c:pt>
                <c:pt idx="2">
                  <c:v>20</c:v>
                </c:pt>
                <c:pt idx="3">
                  <c:v>14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56-46FC-8571-15C075633CB0}"/>
            </c:ext>
          </c:extLst>
        </c:ser>
        <c:ser>
          <c:idx val="2"/>
          <c:order val="2"/>
          <c:tx>
            <c:strRef>
              <c:f>'VRAGENLIJST (2)'!$D$11</c:f>
              <c:strCache>
                <c:ptCount val="1"/>
                <c:pt idx="0">
                  <c:v>niet oneens / niet eens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&quot;%&quot;" sourceLinked="0"/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'VRAGENLIJST (2)'!$A$12:$A$16</c:f>
              <c:strCache>
                <c:ptCount val="5"/>
                <c:pt idx="0">
                  <c:v>De opwarming van de aarde is een probleem dat mijn leven en dat van mijn kinderen ernstig gaat bedreigen</c:v>
                </c:pt>
                <c:pt idx="1">
                  <c:v>Ik heb er begrip voor dat campings maatregelen nemen om te verduurzamen.</c:v>
                </c:pt>
                <c:pt idx="2">
                  <c:v>Ik bezoek liever campings die maatregelen nemen om te verduurzamen, dan campings die daar niet mee bezig zijn.</c:v>
                </c:pt>
                <c:pt idx="3">
                  <c:v>Ik ben bereid om mijn gedrag op vakantie aan te passen als dat bijdraagt aan het beperken van klimaatverandering.</c:v>
                </c:pt>
                <c:pt idx="4">
                  <c:v>Ik ben bereid om meer te betalen voor mijn vakantie als dat bijdraagt aan het beperken van klimaatverandering.</c:v>
                </c:pt>
              </c:strCache>
            </c:strRef>
          </c:cat>
          <c:val>
            <c:numRef>
              <c:f>'VRAGENLIJST (2)'!$D$12:$D$16</c:f>
              <c:numCache>
                <c:formatCode>General</c:formatCode>
                <c:ptCount val="5"/>
                <c:pt idx="0">
                  <c:v>12</c:v>
                </c:pt>
                <c:pt idx="1">
                  <c:v>45</c:v>
                </c:pt>
                <c:pt idx="2">
                  <c:v>35</c:v>
                </c:pt>
                <c:pt idx="3">
                  <c:v>50</c:v>
                </c:pt>
                <c:pt idx="4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56-46FC-8571-15C075633CB0}"/>
            </c:ext>
          </c:extLst>
        </c:ser>
        <c:ser>
          <c:idx val="3"/>
          <c:order val="3"/>
          <c:tx>
            <c:strRef>
              <c:f>'VRAGENLIJST (2)'!$E$11</c:f>
              <c:strCache>
                <c:ptCount val="1"/>
                <c:pt idx="0">
                  <c:v>eens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0&quot;%&quot;" sourceLinked="0"/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'VRAGENLIJST (2)'!$A$12:$A$16</c:f>
              <c:strCache>
                <c:ptCount val="5"/>
                <c:pt idx="0">
                  <c:v>De opwarming van de aarde is een probleem dat mijn leven en dat van mijn kinderen ernstig gaat bedreigen</c:v>
                </c:pt>
                <c:pt idx="1">
                  <c:v>Ik heb er begrip voor dat campings maatregelen nemen om te verduurzamen.</c:v>
                </c:pt>
                <c:pt idx="2">
                  <c:v>Ik bezoek liever campings die maatregelen nemen om te verduurzamen, dan campings die daar niet mee bezig zijn.</c:v>
                </c:pt>
                <c:pt idx="3">
                  <c:v>Ik ben bereid om mijn gedrag op vakantie aan te passen als dat bijdraagt aan het beperken van klimaatverandering.</c:v>
                </c:pt>
                <c:pt idx="4">
                  <c:v>Ik ben bereid om meer te betalen voor mijn vakantie als dat bijdraagt aan het beperken van klimaatverandering.</c:v>
                </c:pt>
              </c:strCache>
            </c:strRef>
          </c:cat>
          <c:val>
            <c:numRef>
              <c:f>'VRAGENLIJST (2)'!$E$12:$E$16</c:f>
              <c:numCache>
                <c:formatCode>General</c:formatCode>
                <c:ptCount val="5"/>
                <c:pt idx="0">
                  <c:v>18</c:v>
                </c:pt>
                <c:pt idx="1">
                  <c:v>49</c:v>
                </c:pt>
                <c:pt idx="2">
                  <c:v>52</c:v>
                </c:pt>
                <c:pt idx="3">
                  <c:v>15</c:v>
                </c:pt>
                <c:pt idx="4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56-46FC-8571-15C075633CB0}"/>
            </c:ext>
          </c:extLst>
        </c:ser>
        <c:ser>
          <c:idx val="4"/>
          <c:order val="4"/>
          <c:tx>
            <c:strRef>
              <c:f>'VRAGENLIJST (2)'!$F$11</c:f>
              <c:strCache>
                <c:ptCount val="1"/>
                <c:pt idx="0">
                  <c:v>helemaal eens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numFmt formatCode="0&quot;%&quot;" sourceLinked="0"/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'VRAGENLIJST (2)'!$A$12:$A$16</c:f>
              <c:strCache>
                <c:ptCount val="5"/>
                <c:pt idx="0">
                  <c:v>De opwarming van de aarde is een probleem dat mijn leven en dat van mijn kinderen ernstig gaat bedreigen</c:v>
                </c:pt>
                <c:pt idx="1">
                  <c:v>Ik heb er begrip voor dat campings maatregelen nemen om te verduurzamen.</c:v>
                </c:pt>
                <c:pt idx="2">
                  <c:v>Ik bezoek liever campings die maatregelen nemen om te verduurzamen, dan campings die daar niet mee bezig zijn.</c:v>
                </c:pt>
                <c:pt idx="3">
                  <c:v>Ik ben bereid om mijn gedrag op vakantie aan te passen als dat bijdraagt aan het beperken van klimaatverandering.</c:v>
                </c:pt>
                <c:pt idx="4">
                  <c:v>Ik ben bereid om meer te betalen voor mijn vakantie als dat bijdraagt aan het beperken van klimaatverandering.</c:v>
                </c:pt>
              </c:strCache>
            </c:strRef>
          </c:cat>
          <c:val>
            <c:numRef>
              <c:f>'VRAGENLIJST (2)'!$F$12:$F$16</c:f>
              <c:numCache>
                <c:formatCode>General</c:formatCode>
                <c:ptCount val="5"/>
                <c:pt idx="0">
                  <c:v>19</c:v>
                </c:pt>
                <c:pt idx="1">
                  <c:v>4</c:v>
                </c:pt>
                <c:pt idx="2">
                  <c:v>16</c:v>
                </c:pt>
                <c:pt idx="3">
                  <c:v>4</c:v>
                </c:pt>
                <c:pt idx="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856-46FC-8571-15C075633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87529647"/>
        <c:axId val="1581822223"/>
      </c:barChart>
      <c:catAx>
        <c:axId val="15875296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1822223"/>
        <c:crosses val="autoZero"/>
        <c:auto val="1"/>
        <c:lblAlgn val="ctr"/>
        <c:lblOffset val="100"/>
        <c:noMultiLvlLbl val="0"/>
      </c:catAx>
      <c:valAx>
        <c:axId val="15818222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75296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4">
        <a:lumMod val="20000"/>
        <a:lumOff val="80000"/>
        <a:alpha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kumimoji="0" lang="nl-NL" sz="1400" b="1" i="0" u="none" strike="noStrike" kern="1200" cap="none" spc="0" normalizeH="0" baseline="0" noProof="0">
                <a:ln>
                  <a:noFill/>
                </a:ln>
                <a:solidFill>
                  <a:schemeClr val="tx1"/>
                </a:solidFill>
                <a:effectLst/>
                <a:uLnTx/>
                <a:uFillTx/>
                <a:latin typeface="Calibri" panose="020F0502020204030204"/>
              </a:rPr>
              <a:t>Bekendheid met innovaties op de camping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'VRAGENLIJST (2)'!$A$33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'VRAGENLIJST (2)'!$E$32:$G$32</c:f>
              <c:strCache>
                <c:ptCount val="3"/>
                <c:pt idx="0">
                  <c:v>Ik wist het vooraf</c:v>
                </c:pt>
                <c:pt idx="1">
                  <c:v>Ik heb er iets over gehoord</c:v>
                </c:pt>
                <c:pt idx="2">
                  <c:v>Ik wist het niet</c:v>
                </c:pt>
              </c:strCache>
            </c:strRef>
          </c:cat>
          <c:val>
            <c:numRef>
              <c:f>'VRAGENLIJST (2)'!$E$33:$G$33</c:f>
              <c:numCache>
                <c:formatCode>0.00%</c:formatCode>
                <c:ptCount val="3"/>
                <c:pt idx="0">
                  <c:v>0.15110356536502548</c:v>
                </c:pt>
                <c:pt idx="1">
                  <c:v>0.23769100169779286</c:v>
                </c:pt>
                <c:pt idx="2">
                  <c:v>0.61120543293718166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80-764A-8D0A-A18FC82DFE21}"/>
            </c:ext>
          </c:extLst>
        </c:ser>
        <c:ser>
          <c:idx val="1"/>
          <c:order val="1"/>
          <c:tx>
            <c:strRef>
              <c:f>'VRAGENLIJST (2)'!$A$34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'VRAGENLIJST (2)'!$E$32:$G$32</c:f>
              <c:strCache>
                <c:ptCount val="3"/>
                <c:pt idx="0">
                  <c:v>Ik wist het vooraf</c:v>
                </c:pt>
                <c:pt idx="1">
                  <c:v>Ik heb er iets over gehoord</c:v>
                </c:pt>
                <c:pt idx="2">
                  <c:v>Ik wist het niet</c:v>
                </c:pt>
              </c:strCache>
            </c:strRef>
          </c:cat>
          <c:val>
            <c:numRef>
              <c:f>'VRAGENLIJST (2)'!$E$34:$G$34</c:f>
              <c:numCache>
                <c:formatCode>0.00%</c:formatCode>
                <c:ptCount val="3"/>
                <c:pt idx="0">
                  <c:v>0.24068767908309455</c:v>
                </c:pt>
                <c:pt idx="1">
                  <c:v>0.54441260744985676</c:v>
                </c:pt>
                <c:pt idx="2">
                  <c:v>0.2148997134670487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80-764A-8D0A-A18FC82DF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728912"/>
        <c:axId val="963730912"/>
      </c:barChart>
      <c:catAx>
        <c:axId val="963728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3730912"/>
        <c:crosses val="autoZero"/>
        <c:auto val="1"/>
        <c:lblAlgn val="ctr"/>
        <c:lblOffset val="100"/>
        <c:noMultiLvlLbl val="0"/>
      </c:catAx>
      <c:valAx>
        <c:axId val="963730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3728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Speelden de duurzame innovaties een rol bij uw keuze voor deze camping?</a:t>
            </a:r>
          </a:p>
        </c:rich>
      </c:tx>
      <c:layout>
        <c:manualLayout>
          <c:xMode val="edge"/>
          <c:yMode val="edge"/>
          <c:x val="0.22389172544260677"/>
          <c:y val="2.92791869278475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B11-9740-9C04-8578619C0A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B11-9740-9C04-8578619C0AB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B11-9740-9C04-8578619C0AB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B11-9740-9C04-8578619C0AB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B11-9740-9C04-8578619C0ABD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'VRAGENLIJST (2)'!$B$45:$F$45</c:f>
              <c:strCache>
                <c:ptCount val="5"/>
                <c:pt idx="0">
                  <c:v>helemaal niet</c:v>
                </c:pt>
                <c:pt idx="1">
                  <c:v>niet</c:v>
                </c:pt>
                <c:pt idx="2">
                  <c:v>niet/wel</c:v>
                </c:pt>
                <c:pt idx="3">
                  <c:v>wel</c:v>
                </c:pt>
                <c:pt idx="4">
                  <c:v>helemaal wel</c:v>
                </c:pt>
              </c:strCache>
            </c:strRef>
          </c:cat>
          <c:val>
            <c:numRef>
              <c:f>'VRAGENLIJST (2)'!$B$46:$F$46</c:f>
              <c:numCache>
                <c:formatCode>0.00%</c:formatCode>
                <c:ptCount val="5"/>
                <c:pt idx="0">
                  <c:v>0.12844036697247707</c:v>
                </c:pt>
                <c:pt idx="1">
                  <c:v>0.22935779816513763</c:v>
                </c:pt>
                <c:pt idx="2">
                  <c:v>0.12232415902140673</c:v>
                </c:pt>
                <c:pt idx="3">
                  <c:v>0.31192660550458717</c:v>
                </c:pt>
                <c:pt idx="4">
                  <c:v>0.20795107033639143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B11-9740-9C04-8578619C0A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kern="1200" spc="0" baseline="0">
                <a:solidFill>
                  <a:schemeClr val="tx1"/>
                </a:solidFill>
              </a:rPr>
              <a:t>Speelden de duurzame innovaties een rol bij uw keuze voor deze camping?</a:t>
            </a:r>
          </a:p>
        </c:rich>
      </c:tx>
      <c:layout>
        <c:manualLayout>
          <c:xMode val="edge"/>
          <c:yMode val="edge"/>
          <c:x val="0.22389172544260677"/>
          <c:y val="2.92791869278475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0F5-1E4C-84AC-CEA876FF7A0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0F5-1E4C-84AC-CEA876FF7A0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0F5-1E4C-84AC-CEA876FF7A0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0F5-1E4C-84AC-CEA876FF7A0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0F5-1E4C-84AC-CEA876FF7A01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'VRAGENLIJST (2)'!$B$48:$F$48</c:f>
              <c:strCache>
                <c:ptCount val="5"/>
                <c:pt idx="0">
                  <c:v>helemaal niet</c:v>
                </c:pt>
                <c:pt idx="1">
                  <c:v>niet</c:v>
                </c:pt>
                <c:pt idx="2">
                  <c:v>niet/wel</c:v>
                </c:pt>
                <c:pt idx="3">
                  <c:v>wel</c:v>
                </c:pt>
                <c:pt idx="4">
                  <c:v>helemaal wel</c:v>
                </c:pt>
              </c:strCache>
            </c:strRef>
          </c:cat>
          <c:val>
            <c:numRef>
              <c:f>'VRAGENLIJST (2)'!$B$49:$F$49</c:f>
              <c:numCache>
                <c:formatCode>0.00%</c:formatCode>
                <c:ptCount val="5"/>
                <c:pt idx="0">
                  <c:v>7.6923076923076927E-2</c:v>
                </c:pt>
                <c:pt idx="1">
                  <c:v>9.2307692307692313E-2</c:v>
                </c:pt>
                <c:pt idx="2">
                  <c:v>0.12820512820512819</c:v>
                </c:pt>
                <c:pt idx="3">
                  <c:v>0.37948717948717947</c:v>
                </c:pt>
                <c:pt idx="4">
                  <c:v>0.32307692307692309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0F5-1E4C-84AC-CEA876FF7A0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Heeft u tijdens uw verblijf iets gemerkt van de duurzame innovaties?</a:t>
            </a:r>
          </a:p>
        </c:rich>
      </c:tx>
      <c:layout>
        <c:manualLayout>
          <c:xMode val="edge"/>
          <c:yMode val="edge"/>
          <c:x val="0.22389172544260677"/>
          <c:y val="2.92791869278475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6B8-6149-AF13-C93BF72C5AB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6B8-6149-AF13-C93BF72C5AB1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'VRAGENLIJST (2)'!$B$57:$C$57</c:f>
              <c:strCache>
                <c:ptCount val="2"/>
                <c:pt idx="0">
                  <c:v>ja</c:v>
                </c:pt>
                <c:pt idx="1">
                  <c:v>neen</c:v>
                </c:pt>
              </c:strCache>
            </c:strRef>
          </c:cat>
          <c:val>
            <c:numRef>
              <c:f>'VRAGENLIJST (2)'!$B$58:$C$58</c:f>
              <c:numCache>
                <c:formatCode>0.00%</c:formatCode>
                <c:ptCount val="2"/>
                <c:pt idx="0">
                  <c:v>0.38848920863309355</c:v>
                </c:pt>
                <c:pt idx="1">
                  <c:v>0.61151079136690645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6B8-6149-AF13-C93BF72C5AB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_xlchart.v1.1</cx:f>
      </cx:strDim>
      <cx:numDim type="size">
        <cx:f dir="row">_xlchart.v1.2</cx:f>
      </cx:numDim>
    </cx:data>
  </cx:chartData>
  <cx:chart>
    <cx:title pos="t" align="ctr" overlay="0">
      <cx:tx>
        <cx:txData>
          <cx:v>Communicatiekanalen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nl-NL" sz="1400" b="1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Communicatiekanalen</a:t>
          </a:r>
        </a:p>
      </cx:txPr>
    </cx:title>
    <cx:plotArea>
      <cx:plotAreaRegion>
        <cx:series layoutId="treemap" uniqueId="{B4172EF6-13D5-43AF-933A-EA67F627B456}">
          <cx:tx>
            <cx:txData>
              <cx:f>_xlchart.v1.0</cx:f>
              <cx:v>1 = ja / 0 = neen</cx:v>
            </cx:txData>
          </cx:tx>
          <cx:dataPt idx="4">
            <cx:spPr>
              <a:solidFill>
                <a:srgbClr val="70AD47"/>
              </a:solidFill>
            </cx:spPr>
          </cx:dataPt>
          <cx:dataLabels pos="inEnd"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1100"/>
                </a:pPr>
                <a:endParaRPr lang="nl-NL" sz="1100" b="0" i="0" u="none" strike="noStrike" baseline="0">
                  <a:solidFill>
                    <a:sysClr val="window" lastClr="FFFFFF"/>
                  </a:solidFill>
                  <a:latin typeface="Calibri" panose="020F0502020204030204"/>
                </a:endParaRPr>
              </a:p>
            </cx:txPr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 sz="1100" b="1"/>
          </a:pPr>
          <a:endParaRPr lang="nl-NL" sz="1100" b="1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2C18873-9F35-924E-87EE-F8CE019BBC8A}">
  <sheetPr/>
  <sheetViews>
    <sheetView zoomScale="78" workbookViewId="0" zoomToFit="1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F761776-DFD7-1548-B3B0-3A0200420878}">
  <sheetPr/>
  <sheetViews>
    <sheetView zoomScale="78" workbookViewId="0" zoomToFit="1"/>
  </sheetViews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F6FDF709-6585-9F4D-8841-25E566AE41DD}">
  <sheetPr/>
  <sheetViews>
    <sheetView zoomScale="78" workbookViewId="0" zoomToFit="1"/>
  </sheetViews>
  <pageMargins left="0.7" right="0.7" top="0.75" bottom="0.75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57BA677-2A1C-224E-A0A0-804837B25D8B}">
  <sheetPr/>
  <sheetViews>
    <sheetView zoomScale="78" workbookViewId="0" zoomToFit="1"/>
  </sheetViews>
  <pageMargins left="0.7" right="0.7" top="0.75" bottom="0.75" header="0.3" footer="0.3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D1EBF8F-797B-3C42-AF77-623F885EECEB}">
  <sheetPr/>
  <sheetViews>
    <sheetView zoomScale="78" workbookViewId="0" zoomToFit="1"/>
  </sheetViews>
  <pageMargins left="0.7" right="0.7" top="0.75" bottom="0.75" header="0.3" footer="0.3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1CA2C47-AD64-BD40-B514-DF6E50286CAD}">
  <sheetPr/>
  <sheetViews>
    <sheetView zoomScale="78" workbookViewId="0" zoomToFit="1"/>
  </sheetViews>
  <pageMargins left="0.7" right="0.7" top="0.75" bottom="0.75" header="0.3" footer="0.3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98A78BB-0C9B-4CB8-A142-98D54C727043}">
  <sheetPr/>
  <sheetViews>
    <sheetView zoomScale="206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64BA549-1F5A-244E-8E4A-238AD75B713A}">
  <sheetPr/>
  <sheetViews>
    <sheetView zoomScale="78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9FCB901-FDAA-45FC-9C08-55F195F7A8E5}">
  <sheetPr/>
  <sheetViews>
    <sheetView zoomScale="78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123334F-CB16-4073-8E5A-95BC1968B2D9}">
  <sheetPr/>
  <sheetViews>
    <sheetView zoomScale="78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97AAEDB-DD03-4CAD-A4A9-F0E0D5186638}">
  <sheetPr/>
  <sheetViews>
    <sheetView zoomScale="78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0256E1A-6E5B-4712-8A2B-37CED4BC3A3E}">
  <sheetPr/>
  <sheetViews>
    <sheetView zoomScale="78" workbookViewId="0" zoomToFit="1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AD676B8-E9AF-9A44-A6D6-A7DBEF9018AE}">
  <sheetPr/>
  <sheetViews>
    <sheetView zoomScale="78" workbookViewId="0" zoomToFit="1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509EB51-4901-6E45-B3F5-0F58BB7FC0D2}">
  <sheetPr/>
  <sheetViews>
    <sheetView zoomScale="78" workbookViewId="0" zoomToFit="1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6172CE1-AA74-A848-A40D-5BC31DAF1C64}">
  <sheetPr/>
  <sheetViews>
    <sheetView zoomScale="78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Scroll" dx="22" fmlaLink="INVULFORMULIER!$H$6" horiz="1" max="1000" page="10" val="342"/>
</file>

<file path=xl/ctrlProps/ctrlProp10.xml><?xml version="1.0" encoding="utf-8"?>
<formControlPr xmlns="http://schemas.microsoft.com/office/spreadsheetml/2009/9/main" objectType="Scroll" dx="22" fmlaLink="$H$19" horiz="1" inc="500" max="1000" page="100" val="11"/>
</file>

<file path=xl/ctrlProps/ctrlProp11.xml><?xml version="1.0" encoding="utf-8"?>
<formControlPr xmlns="http://schemas.microsoft.com/office/spreadsheetml/2009/9/main" objectType="Scroll" dx="22" fmlaLink="$Q$29" horiz="1" inc="50" max="2000" page="10" val="450"/>
</file>

<file path=xl/ctrlProps/ctrlProp12.xml><?xml version="1.0" encoding="utf-8"?>
<formControlPr xmlns="http://schemas.microsoft.com/office/spreadsheetml/2009/9/main" objectType="Scroll" dx="22" fmlaLink="$Q$33" horiz="1" inc="50" max="2000" page="10" val="200"/>
</file>

<file path=xl/ctrlProps/ctrlProp13.xml><?xml version="1.0" encoding="utf-8"?>
<formControlPr xmlns="http://schemas.microsoft.com/office/spreadsheetml/2009/9/main" objectType="Scroll" dx="22" fmlaLink="$Q$35" horiz="1" max="100" page="10" val="18"/>
</file>

<file path=xl/ctrlProps/ctrlProp14.xml><?xml version="1.0" encoding="utf-8"?>
<formControlPr xmlns="http://schemas.microsoft.com/office/spreadsheetml/2009/9/main" objectType="Scroll" dx="22" fmlaLink="$Q$27" horiz="1" max="50" page="0" val="0"/>
</file>

<file path=xl/ctrlProps/ctrlProp15.xml><?xml version="1.0" encoding="utf-8"?>
<formControlPr xmlns="http://schemas.microsoft.com/office/spreadsheetml/2009/9/main" objectType="Scroll" dx="22" fmlaLink="$Q$31" horiz="1" inc="5" max="100" page="10" val="35"/>
</file>

<file path=xl/ctrlProps/ctrlProp16.xml><?xml version="1.0" encoding="utf-8"?>
<formControlPr xmlns="http://schemas.microsoft.com/office/spreadsheetml/2009/9/main" objectType="List" dx="15" fmlaLink="REKENBLAD!$E$150" fmlaRange="REKENBLAD!$B$149:$B$151" noThreeD="1" sel="2" val="0"/>
</file>

<file path=xl/ctrlProps/ctrlProp17.xml><?xml version="1.0" encoding="utf-8"?>
<formControlPr xmlns="http://schemas.microsoft.com/office/spreadsheetml/2009/9/main" objectType="List" dx="15" fmlaLink="REKENBLAD!$K$150" fmlaRange="REKENBLAD!$H$149:$H$151" noThreeD="1" sel="2" val="0"/>
</file>

<file path=xl/ctrlProps/ctrlProp18.xml><?xml version="1.0" encoding="utf-8"?>
<formControlPr xmlns="http://schemas.microsoft.com/office/spreadsheetml/2009/9/main" objectType="List" dx="15" fmlaLink="REKENBLAD!$E$168" fmlaRange="REKENBLAD!$B$167:$B$169" noThreeD="1" sel="2" val="0"/>
</file>

<file path=xl/ctrlProps/ctrlProp19.xml><?xml version="1.0" encoding="utf-8"?>
<formControlPr xmlns="http://schemas.microsoft.com/office/spreadsheetml/2009/9/main" objectType="List" dx="15" fmlaLink="REKENBLAD!$K$168" fmlaRange="REKENBLAD!$H$167:$H$169" noThreeD="1" sel="2" val="0"/>
</file>

<file path=xl/ctrlProps/ctrlProp2.xml><?xml version="1.0" encoding="utf-8"?>
<formControlPr xmlns="http://schemas.microsoft.com/office/spreadsheetml/2009/9/main" objectType="Scroll" dx="22" fmlaLink="INVULFORMULIER!$H$8" horiz="1" inc="100" max="30000" page="100" val="11400"/>
</file>

<file path=xl/ctrlProps/ctrlProp20.xml><?xml version="1.0" encoding="utf-8"?>
<formControlPr xmlns="http://schemas.microsoft.com/office/spreadsheetml/2009/9/main" objectType="List" dx="15" fmlaLink="REKENBLAD!$E$186" fmlaRange="REKENBLAD!$B$185:$B$187" noThreeD="1" sel="2" val="0"/>
</file>

<file path=xl/ctrlProps/ctrlProp21.xml><?xml version="1.0" encoding="utf-8"?>
<formControlPr xmlns="http://schemas.microsoft.com/office/spreadsheetml/2009/9/main" objectType="List" dx="15" fmlaLink="REKENBLAD!$K$186" fmlaRange="REKENBLAD!$H$185:$H$187" noThreeD="1" sel="2" val="0"/>
</file>

<file path=xl/ctrlProps/ctrlProp22.xml><?xml version="1.0" encoding="utf-8"?>
<formControlPr xmlns="http://schemas.microsoft.com/office/spreadsheetml/2009/9/main" objectType="List" dx="15" fmlaLink="REKENBLAD!$E$204" fmlaRange="REKENBLAD!$B$203:$B$205" noThreeD="1" sel="2" val="0"/>
</file>

<file path=xl/ctrlProps/ctrlProp23.xml><?xml version="1.0" encoding="utf-8"?>
<formControlPr xmlns="http://schemas.microsoft.com/office/spreadsheetml/2009/9/main" objectType="List" dx="15" fmlaLink="REKENBLAD!$K$204" fmlaRange="REKENBLAD!$H$203:$H$205" noThreeD="1" sel="3" val="0"/>
</file>

<file path=xl/ctrlProps/ctrlProp24.xml><?xml version="1.0" encoding="utf-8"?>
<formControlPr xmlns="http://schemas.microsoft.com/office/spreadsheetml/2009/9/main" objectType="List" dx="15" fmlaLink="REKENBLAD!$E$91" fmlaRange="REKENBLAD!$B$91:$B$93" noThreeD="1" sel="1" val="0"/>
</file>

<file path=xl/ctrlProps/ctrlProp25.xml><?xml version="1.0" encoding="utf-8"?>
<formControlPr xmlns="http://schemas.microsoft.com/office/spreadsheetml/2009/9/main" objectType="List" dx="15" fmlaLink="REKENBLAD!$E$107" fmlaRange="REKENBLAD!$B$107:$B$109" noThreeD="1" sel="3" val="0"/>
</file>

<file path=xl/ctrlProps/ctrlProp26.xml><?xml version="1.0" encoding="utf-8"?>
<formControlPr xmlns="http://schemas.microsoft.com/office/spreadsheetml/2009/9/main" objectType="List" dx="15" fmlaLink="REKENBLAD!$E$77" fmlaRange="REKENBLAD!$B$77:$B$79" noThreeD="1" sel="2" val="0"/>
</file>

<file path=xl/ctrlProps/ctrlProp27.xml><?xml version="1.0" encoding="utf-8"?>
<formControlPr xmlns="http://schemas.microsoft.com/office/spreadsheetml/2009/9/main" objectType="Scroll" dx="22" fmlaLink="$H$11" horiz="1" max="1000" page="0" val="531"/>
</file>

<file path=xl/ctrlProps/ctrlProp28.xml><?xml version="1.0" encoding="utf-8"?>
<formControlPr xmlns="http://schemas.microsoft.com/office/spreadsheetml/2009/9/main" objectType="Scroll" dx="22" fmlaLink="$H$13" horiz="1" inc="10" max="3" page="0" val="3"/>
</file>

<file path=xl/ctrlProps/ctrlProp3.xml><?xml version="1.0" encoding="utf-8"?>
<formControlPr xmlns="http://schemas.microsoft.com/office/spreadsheetml/2009/9/main" objectType="Scroll" dx="22" fmlaLink="$H$29" horiz="1" inc="50" max="2000" page="10" val="0"/>
</file>

<file path=xl/ctrlProps/ctrlProp4.xml><?xml version="1.0" encoding="utf-8"?>
<formControlPr xmlns="http://schemas.microsoft.com/office/spreadsheetml/2009/9/main" objectType="List" dx="15" fmlaLink="REKENBLAD!$E$59" fmlaRange="REKENBLAD!$B$59:$B$61" noThreeD="1" sel="1" val="0"/>
</file>

<file path=xl/ctrlProps/ctrlProp5.xml><?xml version="1.0" encoding="utf-8"?>
<formControlPr xmlns="http://schemas.microsoft.com/office/spreadsheetml/2009/9/main" objectType="Scroll" dx="22" fmlaLink="$H$33" horiz="1" inc="50" max="2000" page="10" val="0"/>
</file>

<file path=xl/ctrlProps/ctrlProp6.xml><?xml version="1.0" encoding="utf-8"?>
<formControlPr xmlns="http://schemas.microsoft.com/office/spreadsheetml/2009/9/main" objectType="Scroll" dx="22" fmlaLink="$H$35" horiz="1" max="100" page="10" val="0"/>
</file>

<file path=xl/ctrlProps/ctrlProp7.xml><?xml version="1.0" encoding="utf-8"?>
<formControlPr xmlns="http://schemas.microsoft.com/office/spreadsheetml/2009/9/main" objectType="Scroll" dx="22" fmlaLink="$H$27" horiz="1" max="50" page="0" val="0"/>
</file>

<file path=xl/ctrlProps/ctrlProp8.xml><?xml version="1.0" encoding="utf-8"?>
<formControlPr xmlns="http://schemas.microsoft.com/office/spreadsheetml/2009/9/main" objectType="Scroll" dx="22" fmlaLink="$H$31" horiz="1" inc="5" max="100" page="10" val="0"/>
</file>

<file path=xl/ctrlProps/ctrlProp9.xml><?xml version="1.0" encoding="utf-8"?>
<formControlPr xmlns="http://schemas.microsoft.com/office/spreadsheetml/2009/9/main" objectType="Scroll" dx="22" fmlaLink="$H$17" horiz="1" inc="500" max="1000" page="100" val="13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microsoft.com/office/2014/relationships/chartEx" Target="../charts/chartEx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</xdr:row>
          <xdr:rowOff>0</xdr:rowOff>
        </xdr:from>
        <xdr:to>
          <xdr:col>5</xdr:col>
          <xdr:colOff>518160</xdr:colOff>
          <xdr:row>6</xdr:row>
          <xdr:rowOff>15240</xdr:rowOff>
        </xdr:to>
        <xdr:sp macro="" textlink="">
          <xdr:nvSpPr>
            <xdr:cNvPr id="2050" name="Scroll Bar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7</xdr:row>
          <xdr:rowOff>0</xdr:rowOff>
        </xdr:from>
        <xdr:to>
          <xdr:col>5</xdr:col>
          <xdr:colOff>533400</xdr:colOff>
          <xdr:row>8</xdr:row>
          <xdr:rowOff>22860</xdr:rowOff>
        </xdr:to>
        <xdr:sp macro="" textlink="">
          <xdr:nvSpPr>
            <xdr:cNvPr id="2053" name="Scroll Bar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27</xdr:row>
          <xdr:rowOff>137160</xdr:rowOff>
        </xdr:from>
        <xdr:to>
          <xdr:col>5</xdr:col>
          <xdr:colOff>518160</xdr:colOff>
          <xdr:row>28</xdr:row>
          <xdr:rowOff>152400</xdr:rowOff>
        </xdr:to>
        <xdr:sp macro="" textlink="">
          <xdr:nvSpPr>
            <xdr:cNvPr id="2054" name="Scroll Bar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36</xdr:row>
          <xdr:rowOff>60960</xdr:rowOff>
        </xdr:from>
        <xdr:to>
          <xdr:col>7</xdr:col>
          <xdr:colOff>15240</xdr:colOff>
          <xdr:row>39</xdr:row>
          <xdr:rowOff>53340</xdr:rowOff>
        </xdr:to>
        <xdr:sp macro="" textlink="">
          <xdr:nvSpPr>
            <xdr:cNvPr id="2055" name="List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</xdr:colOff>
          <xdr:row>32</xdr:row>
          <xdr:rowOff>0</xdr:rowOff>
        </xdr:from>
        <xdr:to>
          <xdr:col>5</xdr:col>
          <xdr:colOff>518160</xdr:colOff>
          <xdr:row>33</xdr:row>
          <xdr:rowOff>15240</xdr:rowOff>
        </xdr:to>
        <xdr:sp macro="" textlink="">
          <xdr:nvSpPr>
            <xdr:cNvPr id="2056" name="Scroll Bar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33</xdr:row>
          <xdr:rowOff>167640</xdr:rowOff>
        </xdr:from>
        <xdr:to>
          <xdr:col>5</xdr:col>
          <xdr:colOff>533400</xdr:colOff>
          <xdr:row>35</xdr:row>
          <xdr:rowOff>0</xdr:rowOff>
        </xdr:to>
        <xdr:sp macro="" textlink="">
          <xdr:nvSpPr>
            <xdr:cNvPr id="2057" name="Scroll Bar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25</xdr:row>
          <xdr:rowOff>152400</xdr:rowOff>
        </xdr:from>
        <xdr:to>
          <xdr:col>5</xdr:col>
          <xdr:colOff>518160</xdr:colOff>
          <xdr:row>26</xdr:row>
          <xdr:rowOff>167640</xdr:rowOff>
        </xdr:to>
        <xdr:sp macro="" textlink="">
          <xdr:nvSpPr>
            <xdr:cNvPr id="2059" name="Scroll Bar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</xdr:colOff>
          <xdr:row>30</xdr:row>
          <xdr:rowOff>0</xdr:rowOff>
        </xdr:from>
        <xdr:to>
          <xdr:col>5</xdr:col>
          <xdr:colOff>518160</xdr:colOff>
          <xdr:row>31</xdr:row>
          <xdr:rowOff>15240</xdr:rowOff>
        </xdr:to>
        <xdr:sp macro="" textlink="">
          <xdr:nvSpPr>
            <xdr:cNvPr id="2061" name="Scroll Bar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16</xdr:row>
          <xdr:rowOff>0</xdr:rowOff>
        </xdr:from>
        <xdr:to>
          <xdr:col>5</xdr:col>
          <xdr:colOff>533400</xdr:colOff>
          <xdr:row>17</xdr:row>
          <xdr:rowOff>0</xdr:rowOff>
        </xdr:to>
        <xdr:sp macro="" textlink="">
          <xdr:nvSpPr>
            <xdr:cNvPr id="2062" name="Scroll Bar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18</xdr:row>
          <xdr:rowOff>0</xdr:rowOff>
        </xdr:from>
        <xdr:to>
          <xdr:col>5</xdr:col>
          <xdr:colOff>533400</xdr:colOff>
          <xdr:row>19</xdr:row>
          <xdr:rowOff>0</xdr:rowOff>
        </xdr:to>
        <xdr:sp macro="" textlink="">
          <xdr:nvSpPr>
            <xdr:cNvPr id="2063" name="Scroll Bar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27</xdr:row>
          <xdr:rowOff>137160</xdr:rowOff>
        </xdr:from>
        <xdr:to>
          <xdr:col>15</xdr:col>
          <xdr:colOff>0</xdr:colOff>
          <xdr:row>28</xdr:row>
          <xdr:rowOff>152400</xdr:rowOff>
        </xdr:to>
        <xdr:sp macro="" textlink="">
          <xdr:nvSpPr>
            <xdr:cNvPr id="2064" name="Scroll Bar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</xdr:colOff>
          <xdr:row>32</xdr:row>
          <xdr:rowOff>0</xdr:rowOff>
        </xdr:from>
        <xdr:to>
          <xdr:col>15</xdr:col>
          <xdr:colOff>15240</xdr:colOff>
          <xdr:row>33</xdr:row>
          <xdr:rowOff>15240</xdr:rowOff>
        </xdr:to>
        <xdr:sp macro="" textlink="">
          <xdr:nvSpPr>
            <xdr:cNvPr id="2066" name="Scroll Bar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33</xdr:row>
          <xdr:rowOff>167640</xdr:rowOff>
        </xdr:from>
        <xdr:to>
          <xdr:col>15</xdr:col>
          <xdr:colOff>22860</xdr:colOff>
          <xdr:row>35</xdr:row>
          <xdr:rowOff>0</xdr:rowOff>
        </xdr:to>
        <xdr:sp macro="" textlink="">
          <xdr:nvSpPr>
            <xdr:cNvPr id="2067" name="Scroll Bar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25</xdr:row>
          <xdr:rowOff>152400</xdr:rowOff>
        </xdr:from>
        <xdr:to>
          <xdr:col>15</xdr:col>
          <xdr:colOff>0</xdr:colOff>
          <xdr:row>26</xdr:row>
          <xdr:rowOff>167640</xdr:rowOff>
        </xdr:to>
        <xdr:sp macro="" textlink="">
          <xdr:nvSpPr>
            <xdr:cNvPr id="2068" name="Scroll Bar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</xdr:colOff>
          <xdr:row>30</xdr:row>
          <xdr:rowOff>0</xdr:rowOff>
        </xdr:from>
        <xdr:to>
          <xdr:col>15</xdr:col>
          <xdr:colOff>15240</xdr:colOff>
          <xdr:row>31</xdr:row>
          <xdr:rowOff>15240</xdr:rowOff>
        </xdr:to>
        <xdr:sp macro="" textlink="">
          <xdr:nvSpPr>
            <xdr:cNvPr id="2069" name="Scroll Bar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</xdr:colOff>
          <xdr:row>44</xdr:row>
          <xdr:rowOff>114300</xdr:rowOff>
        </xdr:from>
        <xdr:to>
          <xdr:col>7</xdr:col>
          <xdr:colOff>0</xdr:colOff>
          <xdr:row>47</xdr:row>
          <xdr:rowOff>99060</xdr:rowOff>
        </xdr:to>
        <xdr:sp macro="" textlink="">
          <xdr:nvSpPr>
            <xdr:cNvPr id="2071" name="List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44</xdr:row>
          <xdr:rowOff>91440</xdr:rowOff>
        </xdr:from>
        <xdr:to>
          <xdr:col>16</xdr:col>
          <xdr:colOff>22860</xdr:colOff>
          <xdr:row>47</xdr:row>
          <xdr:rowOff>76200</xdr:rowOff>
        </xdr:to>
        <xdr:sp macro="" textlink="">
          <xdr:nvSpPr>
            <xdr:cNvPr id="2072" name="List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48</xdr:row>
          <xdr:rowOff>99060</xdr:rowOff>
        </xdr:from>
        <xdr:to>
          <xdr:col>7</xdr:col>
          <xdr:colOff>22860</xdr:colOff>
          <xdr:row>51</xdr:row>
          <xdr:rowOff>91440</xdr:rowOff>
        </xdr:to>
        <xdr:sp macro="" textlink="">
          <xdr:nvSpPr>
            <xdr:cNvPr id="2073" name="List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48</xdr:row>
          <xdr:rowOff>99060</xdr:rowOff>
        </xdr:from>
        <xdr:to>
          <xdr:col>16</xdr:col>
          <xdr:colOff>0</xdr:colOff>
          <xdr:row>51</xdr:row>
          <xdr:rowOff>91440</xdr:rowOff>
        </xdr:to>
        <xdr:sp macro="" textlink="">
          <xdr:nvSpPr>
            <xdr:cNvPr id="2074" name="List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52</xdr:row>
          <xdr:rowOff>91440</xdr:rowOff>
        </xdr:from>
        <xdr:to>
          <xdr:col>7</xdr:col>
          <xdr:colOff>15240</xdr:colOff>
          <xdr:row>55</xdr:row>
          <xdr:rowOff>76200</xdr:rowOff>
        </xdr:to>
        <xdr:sp macro="" textlink="">
          <xdr:nvSpPr>
            <xdr:cNvPr id="2075" name="List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</xdr:colOff>
          <xdr:row>52</xdr:row>
          <xdr:rowOff>99060</xdr:rowOff>
        </xdr:from>
        <xdr:to>
          <xdr:col>16</xdr:col>
          <xdr:colOff>0</xdr:colOff>
          <xdr:row>55</xdr:row>
          <xdr:rowOff>91440</xdr:rowOff>
        </xdr:to>
        <xdr:sp macro="" textlink="">
          <xdr:nvSpPr>
            <xdr:cNvPr id="2076" name="List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56</xdr:row>
          <xdr:rowOff>129540</xdr:rowOff>
        </xdr:from>
        <xdr:to>
          <xdr:col>7</xdr:col>
          <xdr:colOff>22860</xdr:colOff>
          <xdr:row>59</xdr:row>
          <xdr:rowOff>114300</xdr:rowOff>
        </xdr:to>
        <xdr:sp macro="" textlink="">
          <xdr:nvSpPr>
            <xdr:cNvPr id="2077" name="List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56</xdr:row>
          <xdr:rowOff>114300</xdr:rowOff>
        </xdr:from>
        <xdr:to>
          <xdr:col>16</xdr:col>
          <xdr:colOff>38100</xdr:colOff>
          <xdr:row>59</xdr:row>
          <xdr:rowOff>99060</xdr:rowOff>
        </xdr:to>
        <xdr:sp macro="" textlink="">
          <xdr:nvSpPr>
            <xdr:cNvPr id="2078" name="List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40</xdr:row>
          <xdr:rowOff>114300</xdr:rowOff>
        </xdr:from>
        <xdr:to>
          <xdr:col>7</xdr:col>
          <xdr:colOff>15240</xdr:colOff>
          <xdr:row>43</xdr:row>
          <xdr:rowOff>99060</xdr:rowOff>
        </xdr:to>
        <xdr:sp macro="" textlink="">
          <xdr:nvSpPr>
            <xdr:cNvPr id="2079" name="List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40</xdr:row>
          <xdr:rowOff>137160</xdr:rowOff>
        </xdr:from>
        <xdr:to>
          <xdr:col>16</xdr:col>
          <xdr:colOff>15240</xdr:colOff>
          <xdr:row>43</xdr:row>
          <xdr:rowOff>129540</xdr:rowOff>
        </xdr:to>
        <xdr:sp macro="" textlink="">
          <xdr:nvSpPr>
            <xdr:cNvPr id="2080" name="List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36</xdr:row>
          <xdr:rowOff>91440</xdr:rowOff>
        </xdr:from>
        <xdr:to>
          <xdr:col>16</xdr:col>
          <xdr:colOff>22860</xdr:colOff>
          <xdr:row>39</xdr:row>
          <xdr:rowOff>76200</xdr:rowOff>
        </xdr:to>
        <xdr:sp macro="" textlink="">
          <xdr:nvSpPr>
            <xdr:cNvPr id="2081" name="List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10</xdr:row>
          <xdr:rowOff>0</xdr:rowOff>
        </xdr:from>
        <xdr:to>
          <xdr:col>5</xdr:col>
          <xdr:colOff>533400</xdr:colOff>
          <xdr:row>11</xdr:row>
          <xdr:rowOff>22860</xdr:rowOff>
        </xdr:to>
        <xdr:sp macro="" textlink="">
          <xdr:nvSpPr>
            <xdr:cNvPr id="2082" name="Scroll Bar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12</xdr:row>
          <xdr:rowOff>0</xdr:rowOff>
        </xdr:from>
        <xdr:to>
          <xdr:col>5</xdr:col>
          <xdr:colOff>533400</xdr:colOff>
          <xdr:row>13</xdr:row>
          <xdr:rowOff>22860</xdr:rowOff>
        </xdr:to>
        <xdr:sp macro="" textlink="">
          <xdr:nvSpPr>
            <xdr:cNvPr id="2084" name="Scroll Bar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10</xdr:col>
      <xdr:colOff>341842</xdr:colOff>
      <xdr:row>7</xdr:row>
      <xdr:rowOff>148167</xdr:rowOff>
    </xdr:from>
    <xdr:to>
      <xdr:col>28</xdr:col>
      <xdr:colOff>314325</xdr:colOff>
      <xdr:row>23</xdr:row>
      <xdr:rowOff>31221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84092" y="1576917"/>
          <a:ext cx="10055225" cy="2874962"/>
        </a:xfrm>
        <a:prstGeom prst="rect">
          <a:avLst/>
        </a:prstGeom>
      </xdr:spPr>
    </xdr:pic>
    <xdr:clientData/>
  </xdr:twoCellAnchor>
  <xdr:twoCellAnchor editAs="oneCell">
    <xdr:from>
      <xdr:col>15</xdr:col>
      <xdr:colOff>116417</xdr:colOff>
      <xdr:row>3</xdr:row>
      <xdr:rowOff>84666</xdr:rowOff>
    </xdr:from>
    <xdr:to>
      <xdr:col>23</xdr:col>
      <xdr:colOff>40844</xdr:colOff>
      <xdr:row>7</xdr:row>
      <xdr:rowOff>163103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15084" y="740833"/>
          <a:ext cx="4496427" cy="8541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2769658</xdr:colOff>
      <xdr:row>77</xdr:row>
      <xdr:rowOff>22030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4044083"/>
          <a:ext cx="2772833" cy="33953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12997405" cy="9440601"/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12997405" cy="944060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0.77483</cdr:x>
      <cdr:y>0.14416</cdr:y>
    </cdr:from>
    <cdr:to>
      <cdr:x>0.81854</cdr:x>
      <cdr:y>0.15431</cdr:y>
    </cdr:to>
    <cdr:sp macro="" textlink="'VRAGENLIJST (2)'!$B$1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68EB8702-6CE1-47B8-C5AB-42E4191C82F5}"/>
            </a:ext>
          </a:extLst>
        </cdr:cNvPr>
        <cdr:cNvSpPr txBox="1"/>
      </cdr:nvSpPr>
      <cdr:spPr>
        <a:xfrm xmlns:a="http://schemas.openxmlformats.org/drawingml/2006/main">
          <a:off x="7213107" y="875437"/>
          <a:ext cx="406893" cy="61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E682675B-01C0-924A-9485-0F0F613E00A5}" type="TxLink">
            <a:rPr lang="en-US" sz="1100" b="1" i="0" u="none" strike="noStrike">
              <a:solidFill>
                <a:srgbClr val="000000"/>
              </a:solidFill>
              <a:latin typeface="Calibri"/>
              <a:cs typeface="Calibri"/>
            </a:rPr>
            <a:pPr/>
            <a:t>2022</a:t>
          </a:fld>
          <a:endParaRPr lang="en-GB" sz="1100"/>
        </a:p>
      </cdr:txBody>
    </cdr:sp>
  </cdr:relSizeAnchor>
  <cdr:relSizeAnchor xmlns:cdr="http://schemas.openxmlformats.org/drawingml/2006/chartDrawing">
    <cdr:from>
      <cdr:x>0.47483</cdr:x>
      <cdr:y>0.89949</cdr:y>
    </cdr:from>
    <cdr:to>
      <cdr:x>0.53046</cdr:x>
      <cdr:y>0.94213</cdr:y>
    </cdr:to>
    <cdr:sp macro="" textlink="'VRAGENLIJST (2)'!$B$1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59343A04-781F-D4A8-6FFA-A0096A2D54FD}"/>
            </a:ext>
          </a:extLst>
        </cdr:cNvPr>
        <cdr:cNvSpPr txBox="1"/>
      </cdr:nvSpPr>
      <cdr:spPr>
        <a:xfrm xmlns:a="http://schemas.openxmlformats.org/drawingml/2006/main">
          <a:off x="4420342" y="5462233"/>
          <a:ext cx="517864" cy="258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1388286-0888-B646-9CCF-4C1971698DE4}" type="TxLink">
            <a:rPr lang="en-US" sz="1400" b="1" i="0" u="none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pPr/>
            <a:t>2022</a:t>
          </a:fld>
          <a:endParaRPr lang="en-GB" sz="1400"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12997405" cy="944060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0.77483</cdr:x>
      <cdr:y>0.14416</cdr:y>
    </cdr:from>
    <cdr:to>
      <cdr:x>0.81854</cdr:x>
      <cdr:y>0.15431</cdr:y>
    </cdr:to>
    <cdr:sp macro="" textlink="'VRAGENLIJST (2)'!$B$1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68EB8702-6CE1-47B8-C5AB-42E4191C82F5}"/>
            </a:ext>
          </a:extLst>
        </cdr:cNvPr>
        <cdr:cNvSpPr txBox="1"/>
      </cdr:nvSpPr>
      <cdr:spPr>
        <a:xfrm xmlns:a="http://schemas.openxmlformats.org/drawingml/2006/main">
          <a:off x="7213107" y="875437"/>
          <a:ext cx="406893" cy="61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E682675B-01C0-924A-9485-0F0F613E00A5}" type="TxLink">
            <a:rPr lang="en-US" sz="1100" b="1" i="0" u="none" strike="noStrike">
              <a:solidFill>
                <a:srgbClr val="000000"/>
              </a:solidFill>
              <a:latin typeface="Calibri"/>
              <a:cs typeface="Calibri"/>
            </a:rPr>
            <a:pPr/>
            <a:t>2022</a:t>
          </a:fld>
          <a:endParaRPr lang="en-GB" sz="1100"/>
        </a:p>
      </cdr:txBody>
    </cdr:sp>
  </cdr:relSizeAnchor>
  <cdr:relSizeAnchor xmlns:cdr="http://schemas.openxmlformats.org/drawingml/2006/chartDrawing">
    <cdr:from>
      <cdr:x>0.47549</cdr:x>
      <cdr:y>0.89949</cdr:y>
    </cdr:from>
    <cdr:to>
      <cdr:x>0.53841</cdr:x>
      <cdr:y>0.94416</cdr:y>
    </cdr:to>
    <cdr:sp macro="" textlink="'VRAGENLIJST (2)'!$C$1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59343A04-781F-D4A8-6FFA-A0096A2D54FD}"/>
            </a:ext>
          </a:extLst>
        </cdr:cNvPr>
        <cdr:cNvSpPr txBox="1"/>
      </cdr:nvSpPr>
      <cdr:spPr>
        <a:xfrm xmlns:a="http://schemas.openxmlformats.org/drawingml/2006/main">
          <a:off x="4426475" y="5462235"/>
          <a:ext cx="585709" cy="2712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E7D79F95-ABF0-6B4E-84B7-B690C81152CF}" type="TxLink">
            <a:rPr lang="en-US" sz="1400" b="1" i="0" u="none" strike="noStrike">
              <a:solidFill>
                <a:srgbClr val="000000"/>
              </a:solidFill>
              <a:latin typeface="Calibri"/>
              <a:cs typeface="Calibri"/>
            </a:rPr>
            <a:pPr/>
            <a:t>2023</a:t>
          </a:fld>
          <a:endParaRPr lang="en-GB" sz="1400"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12997405" cy="944060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0.77483</cdr:x>
      <cdr:y>0.14416</cdr:y>
    </cdr:from>
    <cdr:to>
      <cdr:x>0.81854</cdr:x>
      <cdr:y>0.15431</cdr:y>
    </cdr:to>
    <cdr:sp macro="" textlink="'VRAGENLIJST (2)'!$B$1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68EB8702-6CE1-47B8-C5AB-42E4191C82F5}"/>
            </a:ext>
          </a:extLst>
        </cdr:cNvPr>
        <cdr:cNvSpPr txBox="1"/>
      </cdr:nvSpPr>
      <cdr:spPr>
        <a:xfrm xmlns:a="http://schemas.openxmlformats.org/drawingml/2006/main">
          <a:off x="7213107" y="875437"/>
          <a:ext cx="406893" cy="61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E682675B-01C0-924A-9485-0F0F613E00A5}" type="TxLink">
            <a:rPr lang="en-US" sz="1100" b="1" i="0" u="none" strike="noStrike">
              <a:solidFill>
                <a:srgbClr val="000000"/>
              </a:solidFill>
              <a:latin typeface="Calibri"/>
              <a:cs typeface="Calibri"/>
            </a:rPr>
            <a:pPr/>
            <a:t>2022</a:t>
          </a:fld>
          <a:endParaRPr lang="en-GB" sz="1100"/>
        </a:p>
      </cdr:txBody>
    </cdr:sp>
  </cdr:relSizeAnchor>
  <cdr:relSizeAnchor xmlns:cdr="http://schemas.openxmlformats.org/drawingml/2006/chartDrawing">
    <cdr:from>
      <cdr:x>0.47152</cdr:x>
      <cdr:y>0.88731</cdr:y>
    </cdr:from>
    <cdr:to>
      <cdr:x>0.52715</cdr:x>
      <cdr:y>0.92995</cdr:y>
    </cdr:to>
    <cdr:sp macro="" textlink="'VRAGENLIJST (2)'!$B$1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59343A04-781F-D4A8-6FFA-A0096A2D54FD}"/>
            </a:ext>
          </a:extLst>
        </cdr:cNvPr>
        <cdr:cNvSpPr txBox="1"/>
      </cdr:nvSpPr>
      <cdr:spPr>
        <a:xfrm xmlns:a="http://schemas.openxmlformats.org/drawingml/2006/main">
          <a:off x="4389516" y="5388252"/>
          <a:ext cx="517864" cy="258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1388286-0888-B646-9CCF-4C1971698DE4}" type="TxLink">
            <a:rPr lang="en-US" sz="1400" b="1" i="0" u="none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pPr/>
            <a:t>2022</a:t>
          </a:fld>
          <a:endParaRPr lang="en-GB" sz="1400"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12997405" cy="944060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0.77483</cdr:x>
      <cdr:y>0.14416</cdr:y>
    </cdr:from>
    <cdr:to>
      <cdr:x>0.81854</cdr:x>
      <cdr:y>0.15431</cdr:y>
    </cdr:to>
    <cdr:sp macro="" textlink="'VRAGENLIJST (2)'!$B$1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68EB8702-6CE1-47B8-C5AB-42E4191C82F5}"/>
            </a:ext>
          </a:extLst>
        </cdr:cNvPr>
        <cdr:cNvSpPr txBox="1"/>
      </cdr:nvSpPr>
      <cdr:spPr>
        <a:xfrm xmlns:a="http://schemas.openxmlformats.org/drawingml/2006/main">
          <a:off x="7213107" y="875437"/>
          <a:ext cx="406893" cy="61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E682675B-01C0-924A-9485-0F0F613E00A5}" type="TxLink">
            <a:rPr lang="en-US" sz="1100" b="1" i="0" u="none" strike="noStrike">
              <a:solidFill>
                <a:srgbClr val="000000"/>
              </a:solidFill>
              <a:latin typeface="Calibri"/>
              <a:cs typeface="Calibri"/>
            </a:rPr>
            <a:pPr/>
            <a:t>2022</a:t>
          </a:fld>
          <a:endParaRPr lang="en-GB" sz="1100"/>
        </a:p>
      </cdr:txBody>
    </cdr:sp>
  </cdr:relSizeAnchor>
  <cdr:relSizeAnchor xmlns:cdr="http://schemas.openxmlformats.org/drawingml/2006/chartDrawing">
    <cdr:from>
      <cdr:x>0.47152</cdr:x>
      <cdr:y>0.88731</cdr:y>
    </cdr:from>
    <cdr:to>
      <cdr:x>0.52715</cdr:x>
      <cdr:y>0.92995</cdr:y>
    </cdr:to>
    <cdr:sp macro="" textlink="'VRAGENLIJST (2)'!$C$1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59343A04-781F-D4A8-6FFA-A0096A2D54FD}"/>
            </a:ext>
          </a:extLst>
        </cdr:cNvPr>
        <cdr:cNvSpPr txBox="1"/>
      </cdr:nvSpPr>
      <cdr:spPr>
        <a:xfrm xmlns:a="http://schemas.openxmlformats.org/drawingml/2006/main">
          <a:off x="4389516" y="5388252"/>
          <a:ext cx="517864" cy="258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BCE95C70-3F23-434D-B013-D22FBD9EC393}" type="TxLink">
            <a:rPr lang="en-US" sz="1400" b="1" i="0" u="none" strike="noStrike">
              <a:solidFill>
                <a:srgbClr val="000000"/>
              </a:solidFill>
              <a:latin typeface="Calibri"/>
              <a:cs typeface="Calibri"/>
            </a:rPr>
            <a:pPr/>
            <a:t>2023</a:t>
          </a:fld>
          <a:endParaRPr lang="en-GB" sz="1400"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12997405" cy="944060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5308" cy="629138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0.77483</cdr:x>
      <cdr:y>0.14416</cdr:y>
    </cdr:from>
    <cdr:to>
      <cdr:x>0.81854</cdr:x>
      <cdr:y>0.15431</cdr:y>
    </cdr:to>
    <cdr:sp macro="" textlink="'VRAGENLIJST (2)'!$B$1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68EB8702-6CE1-47B8-C5AB-42E4191C82F5}"/>
            </a:ext>
          </a:extLst>
        </cdr:cNvPr>
        <cdr:cNvSpPr txBox="1"/>
      </cdr:nvSpPr>
      <cdr:spPr>
        <a:xfrm xmlns:a="http://schemas.openxmlformats.org/drawingml/2006/main">
          <a:off x="7213107" y="875437"/>
          <a:ext cx="406893" cy="61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E682675B-01C0-924A-9485-0F0F613E00A5}" type="TxLink">
            <a:rPr lang="en-US" sz="1100" b="1" i="0" u="none" strike="noStrike">
              <a:solidFill>
                <a:srgbClr val="000000"/>
              </a:solidFill>
              <a:latin typeface="Calibri"/>
              <a:cs typeface="Calibri"/>
            </a:rPr>
            <a:pPr/>
            <a:t>2022</a:t>
          </a:fld>
          <a:endParaRPr lang="en-GB" sz="1100"/>
        </a:p>
      </cdr:txBody>
    </cdr:sp>
  </cdr:relSizeAnchor>
  <cdr:relSizeAnchor xmlns:cdr="http://schemas.openxmlformats.org/drawingml/2006/chartDrawing">
    <cdr:from>
      <cdr:x>0.47483</cdr:x>
      <cdr:y>0.89949</cdr:y>
    </cdr:from>
    <cdr:to>
      <cdr:x>0.53046</cdr:x>
      <cdr:y>0.94213</cdr:y>
    </cdr:to>
    <cdr:sp macro="" textlink="'VRAGENLIJST (2)'!$B$1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59343A04-781F-D4A8-6FFA-A0096A2D54FD}"/>
            </a:ext>
          </a:extLst>
        </cdr:cNvPr>
        <cdr:cNvSpPr txBox="1"/>
      </cdr:nvSpPr>
      <cdr:spPr>
        <a:xfrm xmlns:a="http://schemas.openxmlformats.org/drawingml/2006/main">
          <a:off x="4420342" y="5462233"/>
          <a:ext cx="517864" cy="258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1388286-0888-B646-9CCF-4C1971698DE4}" type="TxLink">
            <a:rPr lang="en-US" sz="1400" b="1" i="0" u="none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pPr/>
            <a:t>2022</a:t>
          </a:fld>
          <a:endParaRPr lang="en-GB" sz="1400"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12997405" cy="944060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0.77483</cdr:x>
      <cdr:y>0.14416</cdr:y>
    </cdr:from>
    <cdr:to>
      <cdr:x>0.81854</cdr:x>
      <cdr:y>0.15431</cdr:y>
    </cdr:to>
    <cdr:sp macro="" textlink="'VRAGENLIJST (2)'!$B$1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68EB8702-6CE1-47B8-C5AB-42E4191C82F5}"/>
            </a:ext>
          </a:extLst>
        </cdr:cNvPr>
        <cdr:cNvSpPr txBox="1"/>
      </cdr:nvSpPr>
      <cdr:spPr>
        <a:xfrm xmlns:a="http://schemas.openxmlformats.org/drawingml/2006/main">
          <a:off x="7213107" y="875437"/>
          <a:ext cx="406893" cy="61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E682675B-01C0-924A-9485-0F0F613E00A5}" type="TxLink">
            <a:rPr lang="en-US" sz="1100" b="1" i="0" u="none" strike="noStrike">
              <a:solidFill>
                <a:srgbClr val="000000"/>
              </a:solidFill>
              <a:latin typeface="Calibri"/>
              <a:cs typeface="Calibri"/>
            </a:rPr>
            <a:pPr/>
            <a:t>2022</a:t>
          </a:fld>
          <a:endParaRPr lang="en-GB" sz="1100"/>
        </a:p>
      </cdr:txBody>
    </cdr:sp>
  </cdr:relSizeAnchor>
  <cdr:relSizeAnchor xmlns:cdr="http://schemas.openxmlformats.org/drawingml/2006/chartDrawing">
    <cdr:from>
      <cdr:x>0.47483</cdr:x>
      <cdr:y>0.89949</cdr:y>
    </cdr:from>
    <cdr:to>
      <cdr:x>0.53046</cdr:x>
      <cdr:y>0.94213</cdr:y>
    </cdr:to>
    <cdr:sp macro="" textlink="'VRAGENLIJST (2)'!$C$1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59343A04-781F-D4A8-6FFA-A0096A2D54FD}"/>
            </a:ext>
          </a:extLst>
        </cdr:cNvPr>
        <cdr:cNvSpPr txBox="1"/>
      </cdr:nvSpPr>
      <cdr:spPr>
        <a:xfrm xmlns:a="http://schemas.openxmlformats.org/drawingml/2006/main">
          <a:off x="4420342" y="5462233"/>
          <a:ext cx="517864" cy="258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F8EC28C2-57FE-974C-A74E-A6F26FB261B8}" type="TxLink">
            <a:rPr lang="en-US" sz="1100" b="1" i="0" u="none" strike="noStrike">
              <a:solidFill>
                <a:srgbClr val="000000"/>
              </a:solidFill>
              <a:latin typeface="Calibri"/>
              <a:cs typeface="Calibri"/>
            </a:rPr>
            <a:pPr/>
            <a:t>2023</a:t>
          </a:fld>
          <a:endParaRPr lang="en-GB" sz="1400"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12997405" cy="944060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0.35568</cdr:x>
      <cdr:y>0.0077</cdr:y>
    </cdr:from>
    <cdr:to>
      <cdr:x>0.64153</cdr:x>
      <cdr:y>0.06033</cdr:y>
    </cdr:to>
    <cdr:sp macro="" textlink="">
      <cdr:nvSpPr>
        <cdr:cNvPr id="2" name="Tekstvak 1">
          <a:extLst xmlns:a="http://schemas.openxmlformats.org/drawingml/2006/main">
            <a:ext uri="{FF2B5EF4-FFF2-40B4-BE49-F238E27FC236}">
              <a16:creationId xmlns:a16="http://schemas.microsoft.com/office/drawing/2014/main" id="{3C9F7A8F-E24C-47EA-8ACE-D13903814100}"/>
            </a:ext>
          </a:extLst>
        </cdr:cNvPr>
        <cdr:cNvSpPr txBox="1"/>
      </cdr:nvSpPr>
      <cdr:spPr>
        <a:xfrm xmlns:a="http://schemas.openxmlformats.org/drawingml/2006/main">
          <a:off x="3083515" y="48433"/>
          <a:ext cx="2478115" cy="3309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nl-NL"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rPr>
            <a:t>Impact op gedrag</a:t>
          </a:r>
        </a:p>
      </cdr:txBody>
    </cdr:sp>
  </cdr:relSizeAnchor>
  <cdr:relSizeAnchor xmlns:cdr="http://schemas.openxmlformats.org/drawingml/2006/chartDrawing">
    <cdr:from>
      <cdr:x>0.00466</cdr:x>
      <cdr:y>0.34275</cdr:y>
    </cdr:from>
    <cdr:to>
      <cdr:x>0.0419</cdr:x>
      <cdr:y>0.56262</cdr:y>
    </cdr:to>
    <cdr:sp macro="" textlink="">
      <cdr:nvSpPr>
        <cdr:cNvPr id="3" name="Tekstvak 2">
          <a:extLst xmlns:a="http://schemas.openxmlformats.org/drawingml/2006/main">
            <a:ext uri="{FF2B5EF4-FFF2-40B4-BE49-F238E27FC236}">
              <a16:creationId xmlns:a16="http://schemas.microsoft.com/office/drawing/2014/main" id="{AB278D0A-EC23-4AF0-AACE-E10831799C76}"/>
            </a:ext>
          </a:extLst>
        </cdr:cNvPr>
        <cdr:cNvSpPr txBox="1"/>
      </cdr:nvSpPr>
      <cdr:spPr>
        <a:xfrm xmlns:a="http://schemas.openxmlformats.org/drawingml/2006/main" rot="16200000">
          <a:off x="-489490" y="2685081"/>
          <a:ext cx="1382578" cy="3228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nl-NL" sz="1100"/>
            <a:t>Aantal respondenten</a:t>
          </a: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12997405" cy="944060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0.35568</cdr:x>
      <cdr:y>0.0077</cdr:y>
    </cdr:from>
    <cdr:to>
      <cdr:x>0.64153</cdr:x>
      <cdr:y>0.06033</cdr:y>
    </cdr:to>
    <cdr:sp macro="" textlink="">
      <cdr:nvSpPr>
        <cdr:cNvPr id="2" name="Tekstvak 1">
          <a:extLst xmlns:a="http://schemas.openxmlformats.org/drawingml/2006/main">
            <a:ext uri="{FF2B5EF4-FFF2-40B4-BE49-F238E27FC236}">
              <a16:creationId xmlns:a16="http://schemas.microsoft.com/office/drawing/2014/main" id="{3C9F7A8F-E24C-47EA-8ACE-D13903814100}"/>
            </a:ext>
          </a:extLst>
        </cdr:cNvPr>
        <cdr:cNvSpPr txBox="1"/>
      </cdr:nvSpPr>
      <cdr:spPr>
        <a:xfrm xmlns:a="http://schemas.openxmlformats.org/drawingml/2006/main">
          <a:off x="3083515" y="48433"/>
          <a:ext cx="2478115" cy="3309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nl-NL"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rPr>
            <a:t>Impact op gedrag</a:t>
          </a:r>
        </a:p>
      </cdr:txBody>
    </cdr:sp>
  </cdr:relSizeAnchor>
  <cdr:relSizeAnchor xmlns:cdr="http://schemas.openxmlformats.org/drawingml/2006/chartDrawing">
    <cdr:from>
      <cdr:x>0.00466</cdr:x>
      <cdr:y>0.34275</cdr:y>
    </cdr:from>
    <cdr:to>
      <cdr:x>0.0419</cdr:x>
      <cdr:y>0.56262</cdr:y>
    </cdr:to>
    <cdr:sp macro="" textlink="">
      <cdr:nvSpPr>
        <cdr:cNvPr id="3" name="Tekstvak 2">
          <a:extLst xmlns:a="http://schemas.openxmlformats.org/drawingml/2006/main">
            <a:ext uri="{FF2B5EF4-FFF2-40B4-BE49-F238E27FC236}">
              <a16:creationId xmlns:a16="http://schemas.microsoft.com/office/drawing/2014/main" id="{AB278D0A-EC23-4AF0-AACE-E10831799C76}"/>
            </a:ext>
          </a:extLst>
        </cdr:cNvPr>
        <cdr:cNvSpPr txBox="1"/>
      </cdr:nvSpPr>
      <cdr:spPr>
        <a:xfrm xmlns:a="http://schemas.openxmlformats.org/drawingml/2006/main" rot="16200000">
          <a:off x="-489490" y="2685081"/>
          <a:ext cx="1382578" cy="3228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nl-NL" sz="1100"/>
            <a:t>Aantal respondenten</a:t>
          </a: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0" y="0"/>
    <xdr:ext cx="9309223" cy="6072573"/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12993077" cy="943951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12997405" cy="9440601"/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afiek 1">
              <a:extLst>
                <a:ext uri="{FF2B5EF4-FFF2-40B4-BE49-F238E27FC236}">
                  <a16:creationId xmlns:a16="http://schemas.microsoft.com/office/drawing/2014/main" id="{00000000-0008-0000-0700-000002000000}"/>
                </a:ext>
              </a:extLst>
            </xdr:cNvPr>
            <xdr:cNvGraphicFramePr>
              <a:graphicFrameLocks/>
            </xdr:cNvGraphicFramePr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graphicFrame macro="">
          <xdr:nvGraphicFramePr>
            <xdr:cNvPr id="0" name=""/>
            <xdr:cNvGraphicFramePr/>
          </xdr:nvGraphicFramePr>
          <xdr:xfrm>
            <a:off x="0" y="0"/>
            <a:ext cx="0" cy="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</mc:Fallback>
    </mc:AlternateContent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1</cdr:y>
    </cdr:to>
    <cdr:sp macro="" textlink="">
      <cdr:nvSpPr>
        <cdr:cNvPr id="2" name="">
          <a:extLst xmlns:a="http://schemas.openxmlformats.org/drawingml/2006/main">
            <a:ext uri="{FF2B5EF4-FFF2-40B4-BE49-F238E27FC236}">
              <a16:creationId xmlns:a16="http://schemas.microsoft.com/office/drawing/2014/main" id="{0EA3A10A-9ABE-84C8-432F-D4DD8688ACEB}"/>
            </a:ext>
          </a:extLst>
        </cdr:cNvPr>
        <cdr:cNvSpPr>
          <a:spLocks xmlns:a="http://schemas.openxmlformats.org/drawingml/2006/main" noTextEdit="1"/>
        </cdr:cNvSpPr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prstClr val="white"/>
        </a:solidFill>
        <a:ln xmlns:a="http://schemas.openxmlformats.org/drawingml/2006/main" w="1">
          <a:solidFill>
            <a:prstClr val="green"/>
          </a:solidFill>
        </a:ln>
      </cdr:spPr>
      <cdr:txBody>
        <a:bodyPr xmlns:a="http://schemas.openxmlformats.org/drawingml/2006/main" vertOverflow="clip" horzOverflow="clip"/>
        <a:lstStyle xmlns:a="http://schemas.openxmlformats.org/drawingml/2006/main"/>
        <a:p xmlns:a="http://schemas.openxmlformats.org/drawingml/2006/main">
          <a:r>
            <a:rPr sz="1100"/>
            <a:t>This chart isn't available in your version of Excel.
Editing this shape or saving this workbook in a different file format will permanently break the chart.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12997405" cy="9440601"/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0.00466</cdr:x>
      <cdr:y>0.34275</cdr:y>
    </cdr:from>
    <cdr:to>
      <cdr:x>0.0419</cdr:x>
      <cdr:y>0.56262</cdr:y>
    </cdr:to>
    <cdr:sp macro="" textlink="">
      <cdr:nvSpPr>
        <cdr:cNvPr id="3" name="Tekstvak 2">
          <a:extLst xmlns:a="http://schemas.openxmlformats.org/drawingml/2006/main">
            <a:ext uri="{FF2B5EF4-FFF2-40B4-BE49-F238E27FC236}">
              <a16:creationId xmlns:a16="http://schemas.microsoft.com/office/drawing/2014/main" id="{AB278D0A-EC23-4AF0-AACE-E10831799C76}"/>
            </a:ext>
          </a:extLst>
        </cdr:cNvPr>
        <cdr:cNvSpPr txBox="1"/>
      </cdr:nvSpPr>
      <cdr:spPr>
        <a:xfrm xmlns:a="http://schemas.openxmlformats.org/drawingml/2006/main" rot="16200000">
          <a:off x="-489490" y="2685081"/>
          <a:ext cx="1382578" cy="3228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nl-NL" sz="1100"/>
            <a:t>Aantal respondenten</a:t>
          </a:r>
        </a:p>
      </cdr:txBody>
    </cdr:sp>
  </cdr:relSizeAnchor>
  <cdr:relSizeAnchor xmlns:cdr="http://schemas.openxmlformats.org/drawingml/2006/chartDrawing">
    <cdr:from>
      <cdr:x>0.11507</cdr:x>
      <cdr:y>0.00809</cdr:y>
    </cdr:from>
    <cdr:to>
      <cdr:x>0.64032</cdr:x>
      <cdr:y>0.06072</cdr:y>
    </cdr:to>
    <cdr:sp macro="" textlink="">
      <cdr:nvSpPr>
        <cdr:cNvPr id="4" name="Tekstvak 1">
          <a:extLst xmlns:a="http://schemas.openxmlformats.org/drawingml/2006/main">
            <a:ext uri="{FF2B5EF4-FFF2-40B4-BE49-F238E27FC236}">
              <a16:creationId xmlns:a16="http://schemas.microsoft.com/office/drawing/2014/main" id="{0194E08F-2520-4512-92D6-29664098D932}"/>
            </a:ext>
          </a:extLst>
        </cdr:cNvPr>
        <cdr:cNvSpPr txBox="1"/>
      </cdr:nvSpPr>
      <cdr:spPr>
        <a:xfrm xmlns:a="http://schemas.openxmlformats.org/drawingml/2006/main">
          <a:off x="996731" y="50800"/>
          <a:ext cx="4549869" cy="3305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l-NL"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rPr>
            <a:t>Overtuiging en houding ten opzichte van het klimaat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12997405" cy="9440601"/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0.11628</cdr:x>
      <cdr:y>0.0077</cdr:y>
    </cdr:from>
    <cdr:to>
      <cdr:x>0.64153</cdr:x>
      <cdr:y>0.06033</cdr:y>
    </cdr:to>
    <cdr:sp macro="" textlink="">
      <cdr:nvSpPr>
        <cdr:cNvPr id="2" name="Tekstvak 1">
          <a:extLst xmlns:a="http://schemas.openxmlformats.org/drawingml/2006/main">
            <a:ext uri="{FF2B5EF4-FFF2-40B4-BE49-F238E27FC236}">
              <a16:creationId xmlns:a16="http://schemas.microsoft.com/office/drawing/2014/main" id="{3C9F7A8F-E24C-47EA-8ACE-D13903814100}"/>
            </a:ext>
          </a:extLst>
        </cdr:cNvPr>
        <cdr:cNvSpPr txBox="1"/>
      </cdr:nvSpPr>
      <cdr:spPr>
        <a:xfrm xmlns:a="http://schemas.openxmlformats.org/drawingml/2006/main">
          <a:off x="1007241" y="48355"/>
          <a:ext cx="4549869" cy="3305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nl-NL"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rPr>
            <a:t>Overtuiging en houding ten opzichte van het klimaat</a:t>
          </a:r>
        </a:p>
      </cdr:txBody>
    </cdr:sp>
  </cdr:relSizeAnchor>
  <cdr:relSizeAnchor xmlns:cdr="http://schemas.openxmlformats.org/drawingml/2006/chartDrawing">
    <cdr:from>
      <cdr:x>0.00466</cdr:x>
      <cdr:y>0.34275</cdr:y>
    </cdr:from>
    <cdr:to>
      <cdr:x>0.0419</cdr:x>
      <cdr:y>0.56262</cdr:y>
    </cdr:to>
    <cdr:sp macro="" textlink="">
      <cdr:nvSpPr>
        <cdr:cNvPr id="3" name="Tekstvak 2">
          <a:extLst xmlns:a="http://schemas.openxmlformats.org/drawingml/2006/main">
            <a:ext uri="{FF2B5EF4-FFF2-40B4-BE49-F238E27FC236}">
              <a16:creationId xmlns:a16="http://schemas.microsoft.com/office/drawing/2014/main" id="{AB278D0A-EC23-4AF0-AACE-E10831799C76}"/>
            </a:ext>
          </a:extLst>
        </cdr:cNvPr>
        <cdr:cNvSpPr txBox="1"/>
      </cdr:nvSpPr>
      <cdr:spPr>
        <a:xfrm xmlns:a="http://schemas.openxmlformats.org/drawingml/2006/main" rot="16200000">
          <a:off x="-489490" y="2685081"/>
          <a:ext cx="1382578" cy="3228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nl-NL" sz="1100"/>
            <a:t>Aantal respondenten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wellicht.com/enegieverbruik-buitenlamp-berekenen" TargetMode="External"/><Relationship Id="rId1" Type="http://schemas.openxmlformats.org/officeDocument/2006/relationships/hyperlink" Target="https://warmtepomp-weetjes.nl/soorten/warmtepompboiler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C8C50-0444-478B-B5D8-54C8B0F30621}">
  <sheetPr codeName="Sheet1"/>
  <dimension ref="A1:S73"/>
  <sheetViews>
    <sheetView tabSelected="1" zoomScaleNormal="100" workbookViewId="0">
      <selection activeCell="Q29" sqref="Q29"/>
    </sheetView>
  </sheetViews>
  <sheetFormatPr defaultColWidth="9" defaultRowHeight="13.9"/>
  <cols>
    <col min="1" max="1" width="44" customWidth="1"/>
    <col min="2" max="2" width="5.85546875" customWidth="1"/>
    <col min="3" max="3" width="10.5703125" bestFit="1" customWidth="1"/>
    <col min="11" max="11" width="5.85546875" customWidth="1"/>
  </cols>
  <sheetData>
    <row r="1" spans="1:11" ht="14.45" thickBot="1"/>
    <row r="2" spans="1:11" ht="18.600000000000001" thickTop="1">
      <c r="A2" s="6" t="s">
        <v>0</v>
      </c>
      <c r="B2" s="3"/>
      <c r="C2" s="3"/>
      <c r="D2" s="3"/>
      <c r="E2" s="3"/>
      <c r="F2" s="3"/>
      <c r="G2" s="3"/>
      <c r="H2" s="3"/>
      <c r="I2" s="3"/>
      <c r="J2" s="40"/>
      <c r="K2" s="14"/>
    </row>
    <row r="3" spans="1:11" ht="18">
      <c r="A3" s="4"/>
      <c r="J3" s="10"/>
    </row>
    <row r="4" spans="1:11" ht="18">
      <c r="A4" s="5" t="s">
        <v>1</v>
      </c>
      <c r="B4" s="1"/>
      <c r="C4" s="1"/>
      <c r="D4" s="1"/>
      <c r="E4" s="1"/>
      <c r="F4" s="1"/>
      <c r="G4" s="1"/>
      <c r="H4" s="1"/>
      <c r="I4" s="1"/>
      <c r="J4" s="10"/>
    </row>
    <row r="5" spans="1:11" ht="14.45" thickBot="1">
      <c r="J5" s="10"/>
    </row>
    <row r="6" spans="1:11" ht="14.45" thickBot="1">
      <c r="A6" s="2" t="s">
        <v>2</v>
      </c>
      <c r="B6" s="2"/>
      <c r="H6" s="64">
        <v>342</v>
      </c>
      <c r="I6" t="s">
        <v>3</v>
      </c>
      <c r="J6" s="10"/>
    </row>
    <row r="7" spans="1:11" ht="14.45" thickBot="1">
      <c r="A7" s="2"/>
      <c r="B7" s="2"/>
      <c r="H7" s="2"/>
      <c r="J7" s="10"/>
    </row>
    <row r="8" spans="1:11" ht="14.45" thickBot="1">
      <c r="A8" s="2" t="s">
        <v>4</v>
      </c>
      <c r="B8" s="2"/>
      <c r="H8" s="65">
        <v>11400</v>
      </c>
      <c r="I8" t="s">
        <v>5</v>
      </c>
      <c r="J8" s="10"/>
    </row>
    <row r="9" spans="1:11" ht="14.45" thickBot="1">
      <c r="A9" s="2"/>
      <c r="B9" s="2"/>
      <c r="H9" s="107">
        <f>REKENBLAD!C5</f>
        <v>100.2</v>
      </c>
      <c r="I9" t="s">
        <v>3</v>
      </c>
      <c r="J9" s="11" t="str">
        <f>REKENBLAD!F9</f>
        <v>OK</v>
      </c>
    </row>
    <row r="10" spans="1:11" ht="14.45" thickBot="1">
      <c r="A10" s="2"/>
      <c r="B10" s="2"/>
      <c r="H10" s="52"/>
      <c r="J10" s="11"/>
    </row>
    <row r="11" spans="1:11" ht="14.45" thickBot="1">
      <c r="A11" s="2" t="s">
        <v>6</v>
      </c>
      <c r="B11" s="2"/>
      <c r="H11" s="66">
        <v>531</v>
      </c>
      <c r="I11" t="s">
        <v>7</v>
      </c>
      <c r="J11" s="11"/>
    </row>
    <row r="12" spans="1:11" ht="14.45" thickBot="1">
      <c r="A12" s="2"/>
      <c r="B12" s="2"/>
      <c r="H12" s="47"/>
      <c r="J12" s="11"/>
    </row>
    <row r="13" spans="1:11" ht="14.45" thickBot="1">
      <c r="A13" s="2" t="s">
        <v>8</v>
      </c>
      <c r="B13" s="2"/>
      <c r="H13" s="67">
        <v>3</v>
      </c>
      <c r="I13" t="s">
        <v>9</v>
      </c>
      <c r="J13" s="11"/>
    </row>
    <row r="14" spans="1:11" ht="14.45" thickBot="1">
      <c r="A14" s="2"/>
      <c r="B14" s="2"/>
      <c r="H14" s="64">
        <f>ROUND(H13/0.009769444,0)</f>
        <v>307</v>
      </c>
      <c r="I14" t="s">
        <v>7</v>
      </c>
      <c r="J14" s="10"/>
    </row>
    <row r="15" spans="1:11" ht="18">
      <c r="A15" s="5" t="s">
        <v>10</v>
      </c>
      <c r="B15" s="1"/>
      <c r="C15" s="1"/>
      <c r="D15" s="1"/>
      <c r="E15" s="1"/>
      <c r="F15" s="1"/>
      <c r="G15" s="1"/>
      <c r="H15" s="1"/>
      <c r="I15" s="1"/>
      <c r="J15" s="10"/>
    </row>
    <row r="16" spans="1:11" ht="18.600000000000001" thickBot="1">
      <c r="A16" s="8"/>
      <c r="J16" s="10"/>
    </row>
    <row r="17" spans="1:19" ht="14.45" thickBot="1">
      <c r="A17" s="2" t="s">
        <v>11</v>
      </c>
      <c r="H17" s="64">
        <v>131</v>
      </c>
      <c r="I17" t="s">
        <v>12</v>
      </c>
      <c r="J17" s="10"/>
    </row>
    <row r="18" spans="1:19" ht="14.45" thickBot="1">
      <c r="A18" s="2"/>
      <c r="H18" s="2"/>
      <c r="J18" s="10"/>
    </row>
    <row r="19" spans="1:19" ht="14.45" thickBot="1">
      <c r="A19" s="2" t="s">
        <v>13</v>
      </c>
      <c r="H19" s="64">
        <v>11</v>
      </c>
      <c r="I19" t="s">
        <v>14</v>
      </c>
      <c r="J19" s="10"/>
    </row>
    <row r="20" spans="1:19">
      <c r="A20" s="2"/>
      <c r="H20" s="2"/>
      <c r="J20" s="10"/>
    </row>
    <row r="21" spans="1:19">
      <c r="A21" s="2"/>
      <c r="H21" s="2"/>
      <c r="J21" s="10"/>
    </row>
    <row r="22" spans="1:19" ht="18">
      <c r="A22" s="5" t="s">
        <v>15</v>
      </c>
      <c r="B22" s="1"/>
      <c r="C22" s="1"/>
      <c r="D22" s="1"/>
      <c r="E22" s="1"/>
      <c r="F22" s="1"/>
      <c r="G22" s="1"/>
      <c r="H22" s="9"/>
      <c r="I22" s="1"/>
      <c r="J22" s="12"/>
      <c r="K22" s="14"/>
    </row>
    <row r="23" spans="1:19">
      <c r="J23" s="39"/>
    </row>
    <row r="24" spans="1:19" ht="18.600000000000001" thickBot="1">
      <c r="A24" s="8" t="s">
        <v>16</v>
      </c>
    </row>
    <row r="25" spans="1:19" ht="18.600000000000001" thickBot="1">
      <c r="A25" s="16"/>
      <c r="B25" s="17"/>
      <c r="C25" s="28" t="s">
        <v>17</v>
      </c>
      <c r="D25" s="18"/>
      <c r="E25" s="18"/>
      <c r="F25" s="18"/>
      <c r="G25" s="18"/>
      <c r="H25" s="18"/>
      <c r="I25" s="18"/>
      <c r="J25" s="19"/>
      <c r="K25" s="18"/>
      <c r="L25" s="28" t="s">
        <v>18</v>
      </c>
      <c r="M25" s="18"/>
      <c r="N25" s="18"/>
      <c r="O25" s="18"/>
      <c r="P25" s="18"/>
      <c r="Q25" s="18"/>
      <c r="R25" s="20"/>
    </row>
    <row r="26" spans="1:19" ht="14.45" thickBot="1">
      <c r="A26" s="41"/>
      <c r="B26" s="17"/>
      <c r="C26" s="18"/>
      <c r="D26" s="18"/>
      <c r="E26" s="18"/>
      <c r="F26" s="18"/>
      <c r="G26" s="18"/>
      <c r="H26" s="18"/>
      <c r="I26" s="18"/>
      <c r="J26" s="19"/>
      <c r="K26" s="18"/>
      <c r="L26" s="18"/>
      <c r="M26" s="18"/>
      <c r="N26" s="18"/>
      <c r="O26" s="18"/>
      <c r="P26" s="18"/>
      <c r="Q26" s="18"/>
      <c r="R26" s="20"/>
    </row>
    <row r="27" spans="1:19" ht="14.45" thickBot="1">
      <c r="A27" s="23" t="s">
        <v>19</v>
      </c>
      <c r="B27" s="14"/>
      <c r="H27" s="64">
        <v>0</v>
      </c>
      <c r="I27" t="s">
        <v>20</v>
      </c>
      <c r="J27" s="11"/>
      <c r="Q27" s="64">
        <v>0</v>
      </c>
      <c r="R27" s="22" t="s">
        <v>20</v>
      </c>
      <c r="S27" s="7" t="str">
        <f>IF(H27&gt;Q27,"FOUTE INVOER","OK")</f>
        <v>OK</v>
      </c>
    </row>
    <row r="28" spans="1:19" ht="14.45" thickBot="1">
      <c r="A28" s="21"/>
      <c r="B28" s="14"/>
      <c r="J28" s="10"/>
      <c r="R28" s="22"/>
    </row>
    <row r="29" spans="1:19" ht="14.45" thickBot="1">
      <c r="A29" s="23" t="s">
        <v>21</v>
      </c>
      <c r="B29" s="15"/>
      <c r="H29" s="64">
        <v>0</v>
      </c>
      <c r="I29" t="s">
        <v>22</v>
      </c>
      <c r="J29" s="11"/>
      <c r="Q29" s="64">
        <v>450</v>
      </c>
      <c r="R29" s="22" t="s">
        <v>22</v>
      </c>
      <c r="S29" s="7" t="str">
        <f>IF(H29&gt;Q29,"FOUTE INVOER","OK")</f>
        <v>OK</v>
      </c>
    </row>
    <row r="30" spans="1:19" ht="14.45" thickBot="1">
      <c r="A30" s="23"/>
      <c r="B30" s="15"/>
      <c r="H30" s="2"/>
      <c r="J30" s="10"/>
      <c r="Q30" s="2"/>
      <c r="R30" s="22"/>
    </row>
    <row r="31" spans="1:19" ht="14.45" thickBot="1">
      <c r="A31" s="23" t="s">
        <v>23</v>
      </c>
      <c r="B31" s="14"/>
      <c r="H31" s="64">
        <v>0</v>
      </c>
      <c r="I31" t="s">
        <v>24</v>
      </c>
      <c r="J31" s="11"/>
      <c r="Q31" s="64">
        <v>35</v>
      </c>
      <c r="R31" s="22" t="s">
        <v>24</v>
      </c>
      <c r="S31" s="7" t="str">
        <f>IF(H31&gt;Q31,"FOUTE INVOER","OK")</f>
        <v>OK</v>
      </c>
    </row>
    <row r="32" spans="1:19" ht="14.45" thickBot="1">
      <c r="A32" s="21"/>
      <c r="B32" s="14"/>
      <c r="J32" s="10"/>
      <c r="R32" s="22"/>
    </row>
    <row r="33" spans="1:19" ht="14.45" thickBot="1">
      <c r="A33" s="23" t="s">
        <v>25</v>
      </c>
      <c r="B33" s="14"/>
      <c r="H33" s="64">
        <v>0</v>
      </c>
      <c r="I33" t="s">
        <v>26</v>
      </c>
      <c r="J33" s="11"/>
      <c r="Q33" s="64">
        <v>200</v>
      </c>
      <c r="R33" s="22" t="s">
        <v>26</v>
      </c>
      <c r="S33" s="7" t="str">
        <f>IF(H33&gt;Q33,"FOUTE INVOER","OK")</f>
        <v>OK</v>
      </c>
    </row>
    <row r="34" spans="1:19" ht="14.45" thickBot="1">
      <c r="A34" s="21"/>
      <c r="B34" s="14"/>
      <c r="J34" s="10"/>
      <c r="R34" s="22"/>
    </row>
    <row r="35" spans="1:19" ht="14.45" thickBot="1">
      <c r="A35" s="23" t="s">
        <v>27</v>
      </c>
      <c r="B35" s="14"/>
      <c r="H35" s="64">
        <v>0</v>
      </c>
      <c r="I35" t="s">
        <v>28</v>
      </c>
      <c r="J35" s="11"/>
      <c r="Q35" s="64">
        <v>18</v>
      </c>
      <c r="R35" s="22" t="s">
        <v>28</v>
      </c>
      <c r="S35" s="7" t="str">
        <f>IF(H35&gt;Q35,"FOUTE INVOER","OK")</f>
        <v>OK</v>
      </c>
    </row>
    <row r="36" spans="1:19">
      <c r="A36" s="21"/>
      <c r="B36" s="14"/>
      <c r="J36" s="10"/>
      <c r="R36" s="22"/>
    </row>
    <row r="37" spans="1:19" ht="20.100000000000001" customHeight="1">
      <c r="A37" s="42" t="s">
        <v>29</v>
      </c>
      <c r="B37" s="13"/>
      <c r="C37" s="39"/>
      <c r="D37" s="39"/>
      <c r="E37" s="39"/>
      <c r="F37" s="39"/>
      <c r="G37" s="39"/>
      <c r="H37" s="39"/>
      <c r="I37" s="39"/>
      <c r="J37" s="39"/>
      <c r="K37" s="13"/>
      <c r="L37" s="39"/>
      <c r="M37" s="39"/>
      <c r="N37" s="39"/>
      <c r="O37" s="39"/>
      <c r="P37" s="39"/>
      <c r="Q37" s="39"/>
      <c r="R37" s="43"/>
    </row>
    <row r="38" spans="1:19" ht="20.100000000000001" customHeight="1">
      <c r="A38" s="23"/>
      <c r="B38" s="14"/>
      <c r="K38" s="14"/>
      <c r="R38" s="22"/>
    </row>
    <row r="39" spans="1:19" ht="20.100000000000001" customHeight="1">
      <c r="A39" s="21"/>
      <c r="B39" s="14"/>
      <c r="K39" s="14"/>
      <c r="R39" s="22"/>
    </row>
    <row r="40" spans="1:19" ht="20.100000000000001" customHeight="1">
      <c r="A40" s="37"/>
      <c r="B40" s="32"/>
      <c r="C40" s="1"/>
      <c r="D40" s="1"/>
      <c r="E40" s="1"/>
      <c r="F40" s="1"/>
      <c r="G40" s="1"/>
      <c r="H40" s="1"/>
      <c r="I40" s="1"/>
      <c r="J40" s="1"/>
      <c r="K40" s="32"/>
      <c r="L40" s="1"/>
      <c r="M40" s="1"/>
      <c r="N40" s="1"/>
      <c r="O40" s="1"/>
      <c r="P40" s="1"/>
      <c r="Q40" s="1"/>
      <c r="R40" s="44"/>
    </row>
    <row r="41" spans="1:19" ht="20.100000000000001" customHeight="1">
      <c r="A41" s="23" t="s">
        <v>30</v>
      </c>
      <c r="B41" s="14"/>
      <c r="K41" s="14"/>
      <c r="R41" s="22"/>
    </row>
    <row r="42" spans="1:19" ht="20.100000000000001" customHeight="1">
      <c r="A42" s="21"/>
      <c r="B42" s="14"/>
      <c r="F42" s="7"/>
      <c r="K42" s="14"/>
      <c r="R42" s="22"/>
    </row>
    <row r="43" spans="1:19" ht="20.100000000000001" customHeight="1">
      <c r="A43" s="21"/>
      <c r="B43" s="14"/>
      <c r="K43" s="14"/>
      <c r="R43" s="22"/>
    </row>
    <row r="44" spans="1:19" ht="20.100000000000001" customHeight="1">
      <c r="A44" s="21"/>
      <c r="B44" s="14"/>
      <c r="K44" s="14"/>
      <c r="R44" s="22"/>
    </row>
    <row r="45" spans="1:19" ht="20.100000000000001" customHeight="1">
      <c r="A45" s="42" t="s">
        <v>31</v>
      </c>
      <c r="B45" s="13"/>
      <c r="C45" s="39"/>
      <c r="D45" s="39"/>
      <c r="E45" s="39"/>
      <c r="F45" s="39"/>
      <c r="G45" s="39"/>
      <c r="H45" s="39"/>
      <c r="I45" s="39"/>
      <c r="J45" s="39"/>
      <c r="K45" s="13"/>
      <c r="L45" s="39"/>
      <c r="M45" s="39"/>
      <c r="N45" s="39"/>
      <c r="O45" s="39"/>
      <c r="P45" s="39"/>
      <c r="Q45" s="39"/>
      <c r="R45" s="43"/>
    </row>
    <row r="46" spans="1:19" ht="20.100000000000001" customHeight="1">
      <c r="A46" s="21"/>
      <c r="B46" s="14"/>
      <c r="K46" s="14"/>
      <c r="R46" s="22"/>
    </row>
    <row r="47" spans="1:19" ht="20.100000000000001" customHeight="1">
      <c r="A47" s="21"/>
      <c r="B47" s="14"/>
      <c r="K47" s="14"/>
      <c r="R47" s="22"/>
    </row>
    <row r="48" spans="1:19" ht="20.100000000000001" customHeight="1">
      <c r="A48" s="37"/>
      <c r="B48" s="32"/>
      <c r="C48" s="1"/>
      <c r="D48" s="1"/>
      <c r="E48" s="1"/>
      <c r="F48" s="1"/>
      <c r="G48" s="1"/>
      <c r="H48" s="1"/>
      <c r="I48" s="1"/>
      <c r="J48" s="1"/>
      <c r="K48" s="32"/>
      <c r="L48" s="1"/>
      <c r="M48" s="1"/>
      <c r="N48" s="1"/>
      <c r="O48" s="1"/>
      <c r="P48" s="1"/>
      <c r="Q48" s="1"/>
      <c r="R48" s="44"/>
    </row>
    <row r="49" spans="1:18" ht="20.100000000000001" customHeight="1">
      <c r="A49" s="23" t="s">
        <v>32</v>
      </c>
      <c r="B49" s="13"/>
      <c r="C49" s="39"/>
      <c r="D49" s="39"/>
      <c r="E49" s="39"/>
      <c r="F49" s="39"/>
      <c r="G49" s="39"/>
      <c r="H49" s="39"/>
      <c r="I49" s="39"/>
      <c r="J49" s="39"/>
      <c r="K49" s="13"/>
      <c r="L49" s="39"/>
      <c r="M49" s="39"/>
      <c r="N49" s="39"/>
      <c r="O49" s="39"/>
      <c r="P49" s="39"/>
      <c r="Q49" s="39"/>
      <c r="R49" s="43"/>
    </row>
    <row r="50" spans="1:18" ht="20.100000000000001" customHeight="1">
      <c r="A50" s="21"/>
      <c r="B50" s="14"/>
      <c r="K50" s="14"/>
      <c r="R50" s="22"/>
    </row>
    <row r="51" spans="1:18" ht="20.100000000000001" customHeight="1">
      <c r="A51" s="23"/>
      <c r="B51" s="14"/>
      <c r="K51" s="14"/>
      <c r="R51" s="22"/>
    </row>
    <row r="52" spans="1:18" ht="20.100000000000001" customHeight="1">
      <c r="A52" s="45"/>
      <c r="B52" s="14"/>
      <c r="K52" s="14"/>
      <c r="R52" s="22"/>
    </row>
    <row r="53" spans="1:18" ht="20.100000000000001" customHeight="1">
      <c r="A53" s="23" t="s">
        <v>33</v>
      </c>
      <c r="B53" s="13"/>
      <c r="C53" s="39"/>
      <c r="D53" s="39"/>
      <c r="E53" s="39"/>
      <c r="F53" s="39"/>
      <c r="G53" s="39"/>
      <c r="H53" s="39"/>
      <c r="I53" s="39"/>
      <c r="J53" s="39"/>
      <c r="K53" s="13"/>
      <c r="L53" s="39"/>
      <c r="M53" s="39"/>
      <c r="N53" s="39"/>
      <c r="O53" s="39"/>
      <c r="P53" s="39"/>
      <c r="Q53" s="39"/>
      <c r="R53" s="43"/>
    </row>
    <row r="54" spans="1:18" ht="20.100000000000001" customHeight="1">
      <c r="A54" s="21"/>
      <c r="B54" s="14"/>
      <c r="K54" s="14"/>
      <c r="R54" s="22"/>
    </row>
    <row r="55" spans="1:18" ht="20.100000000000001" customHeight="1">
      <c r="A55" s="21"/>
      <c r="B55" s="14"/>
      <c r="K55" s="14"/>
      <c r="R55" s="22"/>
    </row>
    <row r="56" spans="1:18" ht="20.100000000000001" customHeight="1">
      <c r="A56" s="37"/>
      <c r="B56" s="32"/>
      <c r="C56" s="1"/>
      <c r="D56" s="1"/>
      <c r="E56" s="1"/>
      <c r="F56" s="1"/>
      <c r="G56" s="1"/>
      <c r="H56" s="1"/>
      <c r="I56" s="1"/>
      <c r="J56" s="1"/>
      <c r="K56" s="32"/>
      <c r="L56" s="1"/>
      <c r="M56" s="1"/>
      <c r="N56" s="1"/>
      <c r="O56" s="1"/>
      <c r="P56" s="1"/>
      <c r="Q56" s="1"/>
      <c r="R56" s="44"/>
    </row>
    <row r="57" spans="1:18" ht="20.100000000000001" customHeight="1">
      <c r="A57" s="23" t="s">
        <v>34</v>
      </c>
      <c r="B57" s="14"/>
      <c r="K57" s="14"/>
      <c r="R57" s="22"/>
    </row>
    <row r="58" spans="1:18" ht="20.100000000000001" customHeight="1">
      <c r="A58" s="21"/>
      <c r="B58" s="14"/>
      <c r="K58" s="14"/>
      <c r="R58" s="22"/>
    </row>
    <row r="59" spans="1:18" ht="20.100000000000001" customHeight="1">
      <c r="A59" s="21"/>
      <c r="B59" s="14"/>
      <c r="K59" s="14"/>
      <c r="R59" s="22"/>
    </row>
    <row r="60" spans="1:18" ht="20.100000000000001" customHeight="1" thickBot="1">
      <c r="A60" s="24"/>
      <c r="B60" s="25"/>
      <c r="C60" s="26"/>
      <c r="D60" s="26"/>
      <c r="E60" s="26"/>
      <c r="F60" s="26"/>
      <c r="G60" s="26"/>
      <c r="H60" s="26"/>
      <c r="I60" s="26"/>
      <c r="J60" s="26"/>
      <c r="K60" s="25"/>
      <c r="L60" s="26"/>
      <c r="M60" s="26"/>
      <c r="N60" s="26"/>
      <c r="O60" s="26"/>
      <c r="P60" s="26"/>
      <c r="Q60" s="26"/>
      <c r="R60" s="27"/>
    </row>
    <row r="62" spans="1:18" ht="14.45" thickBot="1"/>
    <row r="63" spans="1:18" ht="18">
      <c r="A63" s="97" t="s">
        <v>35</v>
      </c>
      <c r="B63" s="18"/>
      <c r="C63" s="18"/>
      <c r="D63" s="18"/>
      <c r="E63" s="20"/>
    </row>
    <row r="64" spans="1:18" ht="14.45" thickBot="1">
      <c r="A64" s="21"/>
      <c r="E64" s="22"/>
    </row>
    <row r="65" spans="1:5" ht="20.45">
      <c r="A65" s="56" t="s">
        <v>36</v>
      </c>
      <c r="B65" s="28"/>
      <c r="C65" s="57">
        <f>REKENBLAD!E222</f>
        <v>66.38</v>
      </c>
      <c r="D65" s="28" t="s">
        <v>37</v>
      </c>
      <c r="E65" s="58"/>
    </row>
    <row r="66" spans="1:5" ht="18">
      <c r="A66" s="59"/>
      <c r="B66" s="98"/>
      <c r="C66" s="98"/>
      <c r="D66" s="98"/>
      <c r="E66" s="60"/>
    </row>
    <row r="67" spans="1:5" ht="20.45">
      <c r="A67" s="59" t="s">
        <v>38</v>
      </c>
      <c r="B67" s="98"/>
      <c r="C67" s="99">
        <f>REKENBLAD!F222</f>
        <v>0.58532438857497582</v>
      </c>
      <c r="D67" s="98"/>
      <c r="E67" s="60"/>
    </row>
    <row r="68" spans="1:5" ht="18">
      <c r="A68" s="59"/>
      <c r="B68" s="98"/>
      <c r="C68" s="98"/>
      <c r="D68" s="98"/>
      <c r="E68" s="60"/>
    </row>
    <row r="69" spans="1:5" ht="18">
      <c r="A69" s="59" t="s">
        <v>39</v>
      </c>
      <c r="B69" s="98"/>
      <c r="C69" s="100">
        <f>REKENBLAD!C253</f>
        <v>411000</v>
      </c>
      <c r="D69" s="98" t="s">
        <v>40</v>
      </c>
      <c r="E69" s="60"/>
    </row>
    <row r="70" spans="1:5" ht="18">
      <c r="A70" s="59"/>
      <c r="B70" s="98"/>
      <c r="C70" s="98"/>
      <c r="D70" s="98"/>
      <c r="E70" s="60"/>
    </row>
    <row r="71" spans="1:5" ht="18">
      <c r="A71" s="59" t="s">
        <v>41</v>
      </c>
      <c r="B71" s="98"/>
      <c r="C71" s="100">
        <f>REKENBLAD!D253</f>
        <v>124000</v>
      </c>
      <c r="D71" s="98" t="s">
        <v>42</v>
      </c>
      <c r="E71" s="60"/>
    </row>
    <row r="72" spans="1:5" ht="18">
      <c r="A72" s="59"/>
      <c r="B72" s="98"/>
      <c r="C72" s="98"/>
      <c r="D72" s="98"/>
      <c r="E72" s="60"/>
    </row>
    <row r="73" spans="1:5" ht="18.600000000000001" thickBot="1">
      <c r="A73" s="61" t="s">
        <v>43</v>
      </c>
      <c r="B73" s="62"/>
      <c r="C73" s="62">
        <f>REKENBLAD!E253</f>
        <v>3.3</v>
      </c>
      <c r="D73" s="62" t="s">
        <v>44</v>
      </c>
      <c r="E73" s="63"/>
    </row>
  </sheetData>
  <sheetProtection sheet="1" objects="1" scenarios="1" selectLockedCells="1"/>
  <pageMargins left="0.7" right="0.7" top="0.75" bottom="0.75" header="0.3" footer="0.3"/>
  <pageSetup paperSize="9" orientation="portrait" r:id="rId1"/>
  <ignoredErrors>
    <ignoredError sqref="H14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Scroll Bar 2">
              <controlPr defaultSize="0" autoPict="0">
                <anchor moveWithCells="1">
                  <from>
                    <xdr:col>2</xdr:col>
                    <xdr:colOff>0</xdr:colOff>
                    <xdr:row>5</xdr:row>
                    <xdr:rowOff>0</xdr:rowOff>
                  </from>
                  <to>
                    <xdr:col>5</xdr:col>
                    <xdr:colOff>518160</xdr:colOff>
                    <xdr:row>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" name="Scroll Bar 5">
              <controlPr defaultSize="0" autoPict="0">
                <anchor moveWithCells="1">
                  <from>
                    <xdr:col>2</xdr:col>
                    <xdr:colOff>22860</xdr:colOff>
                    <xdr:row>7</xdr:row>
                    <xdr:rowOff>0</xdr:rowOff>
                  </from>
                  <to>
                    <xdr:col>5</xdr:col>
                    <xdr:colOff>533400</xdr:colOff>
                    <xdr:row>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6" name="Scroll Bar 6">
              <controlPr defaultSize="0" autoPict="0">
                <anchor moveWithCells="1">
                  <from>
                    <xdr:col>2</xdr:col>
                    <xdr:colOff>0</xdr:colOff>
                    <xdr:row>27</xdr:row>
                    <xdr:rowOff>137160</xdr:rowOff>
                  </from>
                  <to>
                    <xdr:col>5</xdr:col>
                    <xdr:colOff>518160</xdr:colOff>
                    <xdr:row>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7" name="List Box 7">
              <controlPr locked="0" defaultSize="0" autoLine="0" autoPict="0">
                <anchor moveWithCells="1">
                  <from>
                    <xdr:col>3</xdr:col>
                    <xdr:colOff>0</xdr:colOff>
                    <xdr:row>36</xdr:row>
                    <xdr:rowOff>60960</xdr:rowOff>
                  </from>
                  <to>
                    <xdr:col>7</xdr:col>
                    <xdr:colOff>15240</xdr:colOff>
                    <xdr:row>39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8" name="Scroll Bar 8">
              <controlPr defaultSize="0" autoPict="0">
                <anchor moveWithCells="1">
                  <from>
                    <xdr:col>2</xdr:col>
                    <xdr:colOff>15240</xdr:colOff>
                    <xdr:row>32</xdr:row>
                    <xdr:rowOff>0</xdr:rowOff>
                  </from>
                  <to>
                    <xdr:col>5</xdr:col>
                    <xdr:colOff>518160</xdr:colOff>
                    <xdr:row>33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9" name="Scroll Bar 9">
              <controlPr defaultSize="0" autoPict="0">
                <anchor moveWithCells="1">
                  <from>
                    <xdr:col>2</xdr:col>
                    <xdr:colOff>22860</xdr:colOff>
                    <xdr:row>33</xdr:row>
                    <xdr:rowOff>167640</xdr:rowOff>
                  </from>
                  <to>
                    <xdr:col>5</xdr:col>
                    <xdr:colOff>533400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0" name="Scroll Bar 11">
              <controlPr defaultSize="0" autoPict="0">
                <anchor moveWithCells="1">
                  <from>
                    <xdr:col>2</xdr:col>
                    <xdr:colOff>0</xdr:colOff>
                    <xdr:row>25</xdr:row>
                    <xdr:rowOff>152400</xdr:rowOff>
                  </from>
                  <to>
                    <xdr:col>5</xdr:col>
                    <xdr:colOff>518160</xdr:colOff>
                    <xdr:row>26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1" name="Scroll Bar 13">
              <controlPr defaultSize="0" autoPict="0">
                <anchor moveWithCells="1">
                  <from>
                    <xdr:col>2</xdr:col>
                    <xdr:colOff>15240</xdr:colOff>
                    <xdr:row>30</xdr:row>
                    <xdr:rowOff>0</xdr:rowOff>
                  </from>
                  <to>
                    <xdr:col>5</xdr:col>
                    <xdr:colOff>518160</xdr:colOff>
                    <xdr:row>31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2" name="Scroll Bar 14">
              <controlPr defaultSize="0" autoPict="0">
                <anchor moveWithCells="1">
                  <from>
                    <xdr:col>2</xdr:col>
                    <xdr:colOff>22860</xdr:colOff>
                    <xdr:row>16</xdr:row>
                    <xdr:rowOff>0</xdr:rowOff>
                  </from>
                  <to>
                    <xdr:col>5</xdr:col>
                    <xdr:colOff>533400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3" name="Scroll Bar 15">
              <controlPr defaultSize="0" autoPict="0">
                <anchor moveWithCells="1">
                  <from>
                    <xdr:col>2</xdr:col>
                    <xdr:colOff>22860</xdr:colOff>
                    <xdr:row>18</xdr:row>
                    <xdr:rowOff>0</xdr:rowOff>
                  </from>
                  <to>
                    <xdr:col>5</xdr:col>
                    <xdr:colOff>533400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4" name="Scroll Bar 16">
              <controlPr defaultSize="0" autoPict="0">
                <anchor moveWithCells="1">
                  <from>
                    <xdr:col>11</xdr:col>
                    <xdr:colOff>0</xdr:colOff>
                    <xdr:row>27</xdr:row>
                    <xdr:rowOff>137160</xdr:rowOff>
                  </from>
                  <to>
                    <xdr:col>15</xdr:col>
                    <xdr:colOff>0</xdr:colOff>
                    <xdr:row>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5" name="Scroll Bar 18">
              <controlPr defaultSize="0" autoPict="0">
                <anchor moveWithCells="1">
                  <from>
                    <xdr:col>11</xdr:col>
                    <xdr:colOff>15240</xdr:colOff>
                    <xdr:row>32</xdr:row>
                    <xdr:rowOff>0</xdr:rowOff>
                  </from>
                  <to>
                    <xdr:col>15</xdr:col>
                    <xdr:colOff>15240</xdr:colOff>
                    <xdr:row>33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6" name="Scroll Bar 19">
              <controlPr defaultSize="0" autoPict="0">
                <anchor moveWithCells="1">
                  <from>
                    <xdr:col>11</xdr:col>
                    <xdr:colOff>22860</xdr:colOff>
                    <xdr:row>33</xdr:row>
                    <xdr:rowOff>167640</xdr:rowOff>
                  </from>
                  <to>
                    <xdr:col>15</xdr:col>
                    <xdr:colOff>22860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7" name="Scroll Bar 20">
              <controlPr defaultSize="0" autoPict="0">
                <anchor moveWithCells="1">
                  <from>
                    <xdr:col>11</xdr:col>
                    <xdr:colOff>0</xdr:colOff>
                    <xdr:row>25</xdr:row>
                    <xdr:rowOff>152400</xdr:rowOff>
                  </from>
                  <to>
                    <xdr:col>15</xdr:col>
                    <xdr:colOff>0</xdr:colOff>
                    <xdr:row>26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8" name="Scroll Bar 21">
              <controlPr defaultSize="0" autoPict="0">
                <anchor moveWithCells="1">
                  <from>
                    <xdr:col>11</xdr:col>
                    <xdr:colOff>15240</xdr:colOff>
                    <xdr:row>30</xdr:row>
                    <xdr:rowOff>0</xdr:rowOff>
                  </from>
                  <to>
                    <xdr:col>15</xdr:col>
                    <xdr:colOff>15240</xdr:colOff>
                    <xdr:row>31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9" name="List Box 23">
              <controlPr locked="0" defaultSize="0" autoLine="0" autoPict="0">
                <anchor moveWithCells="1">
                  <from>
                    <xdr:col>3</xdr:col>
                    <xdr:colOff>15240</xdr:colOff>
                    <xdr:row>44</xdr:row>
                    <xdr:rowOff>114300</xdr:rowOff>
                  </from>
                  <to>
                    <xdr:col>7</xdr:col>
                    <xdr:colOff>0</xdr:colOff>
                    <xdr:row>47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0" name="List Box 24">
              <controlPr locked="0" defaultSize="0" autoLine="0" autoPict="0">
                <anchor moveWithCells="1">
                  <from>
                    <xdr:col>12</xdr:col>
                    <xdr:colOff>0</xdr:colOff>
                    <xdr:row>44</xdr:row>
                    <xdr:rowOff>91440</xdr:rowOff>
                  </from>
                  <to>
                    <xdr:col>16</xdr:col>
                    <xdr:colOff>22860</xdr:colOff>
                    <xdr:row>47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1" name="List Box 25">
              <controlPr locked="0" defaultSize="0" autoLine="0" autoPict="0">
                <anchor moveWithCells="1">
                  <from>
                    <xdr:col>3</xdr:col>
                    <xdr:colOff>0</xdr:colOff>
                    <xdr:row>48</xdr:row>
                    <xdr:rowOff>99060</xdr:rowOff>
                  </from>
                  <to>
                    <xdr:col>7</xdr:col>
                    <xdr:colOff>22860</xdr:colOff>
                    <xdr:row>51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2" name="List Box 26">
              <controlPr locked="0" defaultSize="0" autoLine="0" autoPict="0">
                <anchor moveWithCells="1">
                  <from>
                    <xdr:col>12</xdr:col>
                    <xdr:colOff>0</xdr:colOff>
                    <xdr:row>48</xdr:row>
                    <xdr:rowOff>99060</xdr:rowOff>
                  </from>
                  <to>
                    <xdr:col>16</xdr:col>
                    <xdr:colOff>0</xdr:colOff>
                    <xdr:row>51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3" name="List Box 27">
              <controlPr locked="0" defaultSize="0" autoLine="0" autoPict="0">
                <anchor moveWithCells="1">
                  <from>
                    <xdr:col>3</xdr:col>
                    <xdr:colOff>0</xdr:colOff>
                    <xdr:row>52</xdr:row>
                    <xdr:rowOff>91440</xdr:rowOff>
                  </from>
                  <to>
                    <xdr:col>7</xdr:col>
                    <xdr:colOff>15240</xdr:colOff>
                    <xdr:row>55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4" name="List Box 28">
              <controlPr locked="0" defaultSize="0" autoLine="0" autoPict="0">
                <anchor moveWithCells="1">
                  <from>
                    <xdr:col>12</xdr:col>
                    <xdr:colOff>15240</xdr:colOff>
                    <xdr:row>52</xdr:row>
                    <xdr:rowOff>99060</xdr:rowOff>
                  </from>
                  <to>
                    <xdr:col>16</xdr:col>
                    <xdr:colOff>0</xdr:colOff>
                    <xdr:row>55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5" name="List Box 29">
              <controlPr locked="0" defaultSize="0" autoLine="0" autoPict="0">
                <anchor moveWithCells="1">
                  <from>
                    <xdr:col>3</xdr:col>
                    <xdr:colOff>0</xdr:colOff>
                    <xdr:row>56</xdr:row>
                    <xdr:rowOff>129540</xdr:rowOff>
                  </from>
                  <to>
                    <xdr:col>7</xdr:col>
                    <xdr:colOff>22860</xdr:colOff>
                    <xdr:row>59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6" name="List Box 30">
              <controlPr locked="0" defaultSize="0" autoLine="0" autoPict="0">
                <anchor moveWithCells="1">
                  <from>
                    <xdr:col>12</xdr:col>
                    <xdr:colOff>0</xdr:colOff>
                    <xdr:row>56</xdr:row>
                    <xdr:rowOff>114300</xdr:rowOff>
                  </from>
                  <to>
                    <xdr:col>16</xdr:col>
                    <xdr:colOff>38100</xdr:colOff>
                    <xdr:row>59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27" name="List Box 31">
              <controlPr locked="0" defaultSize="0" autoLine="0" autoPict="0">
                <anchor moveWithCells="1">
                  <from>
                    <xdr:col>3</xdr:col>
                    <xdr:colOff>22860</xdr:colOff>
                    <xdr:row>40</xdr:row>
                    <xdr:rowOff>114300</xdr:rowOff>
                  </from>
                  <to>
                    <xdr:col>7</xdr:col>
                    <xdr:colOff>15240</xdr:colOff>
                    <xdr:row>43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8" name="List Box 32">
              <controlPr locked="0" defaultSize="0" autoLine="0" autoPict="0">
                <anchor moveWithCells="1">
                  <from>
                    <xdr:col>12</xdr:col>
                    <xdr:colOff>0</xdr:colOff>
                    <xdr:row>40</xdr:row>
                    <xdr:rowOff>137160</xdr:rowOff>
                  </from>
                  <to>
                    <xdr:col>16</xdr:col>
                    <xdr:colOff>15240</xdr:colOff>
                    <xdr:row>43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29" name="List Box 33">
              <controlPr locked="0" defaultSize="0" autoLine="0" autoPict="0">
                <anchor moveWithCells="1">
                  <from>
                    <xdr:col>12</xdr:col>
                    <xdr:colOff>0</xdr:colOff>
                    <xdr:row>36</xdr:row>
                    <xdr:rowOff>91440</xdr:rowOff>
                  </from>
                  <to>
                    <xdr:col>16</xdr:col>
                    <xdr:colOff>22860</xdr:colOff>
                    <xdr:row>39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0" name="Scroll Bar 34">
              <controlPr defaultSize="0" autoPict="0">
                <anchor moveWithCells="1">
                  <from>
                    <xdr:col>2</xdr:col>
                    <xdr:colOff>22860</xdr:colOff>
                    <xdr:row>10</xdr:row>
                    <xdr:rowOff>0</xdr:rowOff>
                  </from>
                  <to>
                    <xdr:col>5</xdr:col>
                    <xdr:colOff>533400</xdr:colOff>
                    <xdr:row>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1" name="Scroll Bar 36">
              <controlPr defaultSize="0" autoPict="0">
                <anchor moveWithCells="1">
                  <from>
                    <xdr:col>2</xdr:col>
                    <xdr:colOff>22860</xdr:colOff>
                    <xdr:row>12</xdr:row>
                    <xdr:rowOff>0</xdr:rowOff>
                  </from>
                  <to>
                    <xdr:col>5</xdr:col>
                    <xdr:colOff>533400</xdr:colOff>
                    <xdr:row>13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46E05-1909-425D-A6B1-88EF85C3E24B}">
  <dimension ref="B2:L253"/>
  <sheetViews>
    <sheetView topLeftCell="A232" zoomScale="85" zoomScaleNormal="85" workbookViewId="0">
      <selection activeCell="C5" sqref="C5"/>
    </sheetView>
  </sheetViews>
  <sheetFormatPr defaultColWidth="9" defaultRowHeight="13.9"/>
  <cols>
    <col min="2" max="2" width="26.140625" customWidth="1"/>
    <col min="3" max="3" width="10.85546875" bestFit="1" customWidth="1"/>
    <col min="5" max="5" width="10.85546875" customWidth="1"/>
    <col min="8" max="8" width="65.140625" customWidth="1"/>
  </cols>
  <sheetData>
    <row r="2" spans="2:9" ht="14.45" thickBot="1">
      <c r="B2" s="2" t="s">
        <v>45</v>
      </c>
      <c r="H2" s="2" t="s">
        <v>46</v>
      </c>
      <c r="I2" s="2" t="s">
        <v>47</v>
      </c>
    </row>
    <row r="3" spans="2:9">
      <c r="B3" s="41" t="s">
        <v>48</v>
      </c>
      <c r="C3" s="18">
        <f>INVULFORMULIER!H6</f>
        <v>342</v>
      </c>
      <c r="D3" s="18" t="s">
        <v>3</v>
      </c>
      <c r="E3" s="20"/>
    </row>
    <row r="4" spans="2:9">
      <c r="B4" s="21" t="s">
        <v>49</v>
      </c>
      <c r="C4" s="30">
        <f>INVULFORMULIER!H8</f>
        <v>11400</v>
      </c>
      <c r="D4" t="s">
        <v>50</v>
      </c>
      <c r="E4" s="22"/>
    </row>
    <row r="5" spans="2:9">
      <c r="B5" s="21" t="s">
        <v>51</v>
      </c>
      <c r="C5" s="48">
        <f>ROUND((C4*31.65)/3600,1)</f>
        <v>100.2</v>
      </c>
      <c r="D5" t="s">
        <v>3</v>
      </c>
      <c r="E5" s="22"/>
    </row>
    <row r="6" spans="2:9">
      <c r="B6" s="21" t="s">
        <v>52</v>
      </c>
      <c r="C6">
        <f>ROUND(INVULFORMULIER!H19+INVULFORMULIER!H17*(9/100),0)</f>
        <v>23</v>
      </c>
      <c r="D6" t="s">
        <v>53</v>
      </c>
      <c r="E6" s="22"/>
    </row>
    <row r="7" spans="2:9">
      <c r="B7" s="21" t="s">
        <v>54</v>
      </c>
      <c r="C7" s="30">
        <f>C6*1800/1000</f>
        <v>41.4</v>
      </c>
      <c r="D7" t="s">
        <v>3</v>
      </c>
      <c r="E7" s="22" t="s">
        <v>55</v>
      </c>
    </row>
    <row r="8" spans="2:9">
      <c r="B8" s="21" t="s">
        <v>56</v>
      </c>
      <c r="C8" s="30">
        <f>IF(C5-C7&lt;0,0,C5-C7)</f>
        <v>58.800000000000004</v>
      </c>
      <c r="D8" t="s">
        <v>3</v>
      </c>
      <c r="E8" s="22" t="s">
        <v>55</v>
      </c>
    </row>
    <row r="9" spans="2:9">
      <c r="B9" s="21" t="s">
        <v>57</v>
      </c>
      <c r="C9" s="30">
        <f>INVULFORMULIER!H19*600*31.65/3600</f>
        <v>58.024999999999999</v>
      </c>
      <c r="D9" t="s">
        <v>3</v>
      </c>
      <c r="E9" s="22"/>
      <c r="F9" t="str">
        <f>IF(C8&gt;C9,"OK",IF(E59=2,"OK",IF(E59=3,"OK","FOUTE INVOER")))</f>
        <v>OK</v>
      </c>
      <c r="H9" t="s">
        <v>58</v>
      </c>
    </row>
    <row r="10" spans="2:9" ht="15">
      <c r="B10" s="21" t="s">
        <v>59</v>
      </c>
      <c r="C10">
        <v>0.27200000000000002</v>
      </c>
      <c r="D10" t="s">
        <v>60</v>
      </c>
      <c r="E10" s="22"/>
      <c r="H10" t="s">
        <v>61</v>
      </c>
      <c r="I10" t="s">
        <v>62</v>
      </c>
    </row>
    <row r="11" spans="2:9">
      <c r="B11" s="21" t="s">
        <v>63</v>
      </c>
      <c r="C11">
        <v>1.788</v>
      </c>
      <c r="D11" t="s">
        <v>64</v>
      </c>
      <c r="E11" s="22"/>
      <c r="H11" t="s">
        <v>65</v>
      </c>
      <c r="I11" t="s">
        <v>66</v>
      </c>
    </row>
    <row r="12" spans="2:9">
      <c r="B12" s="21" t="s">
        <v>67</v>
      </c>
      <c r="C12" s="48">
        <f>INVULFORMULIER!H11</f>
        <v>531</v>
      </c>
      <c r="D12" t="s">
        <v>68</v>
      </c>
      <c r="E12" s="22"/>
    </row>
    <row r="13" spans="2:9">
      <c r="B13" s="21" t="s">
        <v>69</v>
      </c>
      <c r="C13" s="31">
        <f>INVULFORMULIER!H13</f>
        <v>3</v>
      </c>
      <c r="D13" t="s">
        <v>70</v>
      </c>
      <c r="E13" s="22"/>
    </row>
    <row r="14" spans="2:9" ht="14.45" thickBot="1">
      <c r="B14" s="24" t="s">
        <v>71</v>
      </c>
      <c r="C14" s="38">
        <f>C3*C10+C4*C11/1000</f>
        <v>113.4072</v>
      </c>
      <c r="D14" s="26" t="s">
        <v>37</v>
      </c>
      <c r="E14" s="27"/>
    </row>
    <row r="15" spans="2:9" ht="14.45" thickBot="1"/>
    <row r="16" spans="2:9">
      <c r="B16" s="29" t="s">
        <v>72</v>
      </c>
      <c r="C16" s="18"/>
      <c r="D16" s="18"/>
      <c r="E16" s="18"/>
      <c r="F16" s="18"/>
      <c r="G16" s="20"/>
    </row>
    <row r="17" spans="2:9">
      <c r="B17" s="21" t="s">
        <v>73</v>
      </c>
      <c r="C17">
        <f>INVULFORMULIER!H27</f>
        <v>0</v>
      </c>
      <c r="D17" t="s">
        <v>74</v>
      </c>
      <c r="G17" s="22"/>
    </row>
    <row r="18" spans="2:9">
      <c r="B18" s="21"/>
      <c r="G18" s="22"/>
    </row>
    <row r="19" spans="2:9">
      <c r="B19" s="23" t="s">
        <v>75</v>
      </c>
      <c r="G19" s="22"/>
    </row>
    <row r="20" spans="2:9">
      <c r="B20" s="21" t="s">
        <v>76</v>
      </c>
      <c r="C20">
        <f>INVULFORMULIER!Q27-C17</f>
        <v>0</v>
      </c>
      <c r="D20" t="s">
        <v>74</v>
      </c>
      <c r="G20" s="22"/>
    </row>
    <row r="21" spans="2:9">
      <c r="B21" s="21" t="s">
        <v>77</v>
      </c>
      <c r="C21">
        <f>C20*1500/1000</f>
        <v>0</v>
      </c>
      <c r="D21" t="s">
        <v>3</v>
      </c>
      <c r="G21" s="22"/>
      <c r="H21" t="s">
        <v>78</v>
      </c>
      <c r="I21" t="s">
        <v>79</v>
      </c>
    </row>
    <row r="22" spans="2:9">
      <c r="B22" s="21" t="s">
        <v>80</v>
      </c>
      <c r="C22" s="30">
        <f>ROUND(11000*C20,-3)</f>
        <v>0</v>
      </c>
      <c r="D22" t="s">
        <v>81</v>
      </c>
      <c r="G22" s="22"/>
    </row>
    <row r="23" spans="2:9">
      <c r="B23" s="21" t="s">
        <v>82</v>
      </c>
      <c r="C23" s="30">
        <f>ROUND(C21*C12,-3)</f>
        <v>0</v>
      </c>
      <c r="D23" t="s">
        <v>83</v>
      </c>
      <c r="G23" s="22"/>
    </row>
    <row r="24" spans="2:9">
      <c r="B24" s="21" t="s">
        <v>43</v>
      </c>
      <c r="C24">
        <f>IF(C20=0,0,ROUND(C22/C23,1))</f>
        <v>0</v>
      </c>
      <c r="D24" t="s">
        <v>84</v>
      </c>
      <c r="G24" s="22"/>
    </row>
    <row r="25" spans="2:9" ht="14.45" thickBot="1">
      <c r="B25" s="24" t="s">
        <v>85</v>
      </c>
      <c r="C25" s="38">
        <f>C21*C10</f>
        <v>0</v>
      </c>
      <c r="D25" s="26" t="s">
        <v>37</v>
      </c>
      <c r="E25" s="26"/>
      <c r="F25" s="26"/>
      <c r="G25" s="27"/>
    </row>
    <row r="26" spans="2:9" ht="14.45" thickBot="1"/>
    <row r="27" spans="2:9">
      <c r="B27" s="29" t="s">
        <v>86</v>
      </c>
      <c r="C27" s="18"/>
      <c r="D27" s="18"/>
      <c r="E27" s="18"/>
      <c r="F27" s="18"/>
      <c r="G27" s="20"/>
    </row>
    <row r="28" spans="2:9">
      <c r="B28" s="21" t="s">
        <v>87</v>
      </c>
      <c r="C28">
        <f>INVULFORMULIER!H29</f>
        <v>0</v>
      </c>
      <c r="D28" t="s">
        <v>22</v>
      </c>
      <c r="G28" s="22"/>
    </row>
    <row r="29" spans="2:9">
      <c r="B29" s="21"/>
      <c r="G29" s="22"/>
    </row>
    <row r="30" spans="2:9">
      <c r="B30" s="23" t="s">
        <v>88</v>
      </c>
      <c r="G30" s="22"/>
    </row>
    <row r="31" spans="2:9">
      <c r="B31" s="21" t="s">
        <v>76</v>
      </c>
      <c r="C31">
        <f>INVULFORMULIER!Q29-C28</f>
        <v>450</v>
      </c>
      <c r="D31" t="s">
        <v>22</v>
      </c>
      <c r="G31" s="22"/>
    </row>
    <row r="32" spans="2:9">
      <c r="B32" s="21" t="s">
        <v>89</v>
      </c>
      <c r="C32">
        <f>C31*365/1000</f>
        <v>164.25</v>
      </c>
      <c r="D32" t="s">
        <v>90</v>
      </c>
      <c r="G32" s="22"/>
      <c r="H32" t="s">
        <v>91</v>
      </c>
      <c r="I32" t="s">
        <v>92</v>
      </c>
    </row>
    <row r="33" spans="2:11">
      <c r="B33" s="21" t="s">
        <v>77</v>
      </c>
      <c r="C33">
        <f>C32*0.85</f>
        <v>139.61249999999998</v>
      </c>
      <c r="D33" t="s">
        <v>3</v>
      </c>
      <c r="G33" s="22"/>
      <c r="H33" t="s">
        <v>93</v>
      </c>
      <c r="I33" t="s">
        <v>92</v>
      </c>
    </row>
    <row r="34" spans="2:11">
      <c r="B34" s="21" t="s">
        <v>80</v>
      </c>
      <c r="C34" s="30">
        <f>ROUND(C32*1000*1.45,-3)</f>
        <v>238000</v>
      </c>
      <c r="D34" t="s">
        <v>81</v>
      </c>
      <c r="G34" s="22"/>
      <c r="H34" t="s">
        <v>94</v>
      </c>
      <c r="I34" t="s">
        <v>95</v>
      </c>
      <c r="K34" t="s">
        <v>96</v>
      </c>
    </row>
    <row r="35" spans="2:11">
      <c r="B35" s="21" t="s">
        <v>82</v>
      </c>
      <c r="C35" s="30">
        <f>ROUND(C33*C12,-3)</f>
        <v>74000</v>
      </c>
      <c r="D35" t="s">
        <v>83</v>
      </c>
      <c r="G35" s="22"/>
    </row>
    <row r="36" spans="2:11" ht="14.45" thickBot="1">
      <c r="B36" s="24" t="s">
        <v>85</v>
      </c>
      <c r="C36" s="38">
        <f>ROUND(C33*C10,1)</f>
        <v>38</v>
      </c>
      <c r="D36" s="26" t="s">
        <v>37</v>
      </c>
      <c r="E36" s="26"/>
      <c r="F36" s="26"/>
      <c r="G36" s="27"/>
    </row>
    <row r="37" spans="2:11" ht="14.45" thickBot="1"/>
    <row r="38" spans="2:11">
      <c r="B38" s="29" t="s">
        <v>97</v>
      </c>
      <c r="C38" s="18"/>
      <c r="D38" s="18"/>
      <c r="E38" s="18"/>
      <c r="F38" s="18"/>
      <c r="G38" s="20"/>
    </row>
    <row r="39" spans="2:11">
      <c r="B39" s="21" t="s">
        <v>98</v>
      </c>
      <c r="C39">
        <f>INVULFORMULIER!H31</f>
        <v>0</v>
      </c>
      <c r="D39" t="s">
        <v>24</v>
      </c>
      <c r="G39" s="22"/>
    </row>
    <row r="40" spans="2:11">
      <c r="B40" s="21"/>
      <c r="G40" s="22"/>
    </row>
    <row r="41" spans="2:11">
      <c r="B41" s="23" t="s">
        <v>99</v>
      </c>
      <c r="G41" s="22"/>
    </row>
    <row r="42" spans="2:11">
      <c r="B42" s="21" t="s">
        <v>100</v>
      </c>
      <c r="C42">
        <f>INVULFORMULIER!Q31-C39</f>
        <v>35</v>
      </c>
      <c r="D42" t="s">
        <v>24</v>
      </c>
      <c r="G42" s="22"/>
    </row>
    <row r="43" spans="2:11">
      <c r="B43" s="21" t="s">
        <v>77</v>
      </c>
      <c r="C43">
        <f>C42*0.5</f>
        <v>17.5</v>
      </c>
      <c r="D43" t="s">
        <v>3</v>
      </c>
      <c r="G43" s="22"/>
      <c r="H43" t="s">
        <v>101</v>
      </c>
    </row>
    <row r="44" spans="2:11">
      <c r="B44" s="21"/>
      <c r="C44" s="30">
        <f>ROUND(C43*3600/(35.17*0.9),0)</f>
        <v>1990</v>
      </c>
      <c r="D44" t="s">
        <v>5</v>
      </c>
      <c r="G44" s="22"/>
    </row>
    <row r="45" spans="2:11">
      <c r="B45" s="21" t="s">
        <v>82</v>
      </c>
      <c r="C45" s="30">
        <f>ROUND(C44*C13,-2)</f>
        <v>6000</v>
      </c>
      <c r="D45" t="s">
        <v>83</v>
      </c>
      <c r="G45" s="22"/>
    </row>
    <row r="46" spans="2:11">
      <c r="B46" s="21" t="s">
        <v>80</v>
      </c>
      <c r="C46" s="30">
        <f>ROUND(C42*1625,-3)</f>
        <v>57000</v>
      </c>
      <c r="D46" t="s">
        <v>81</v>
      </c>
      <c r="G46" s="22"/>
      <c r="H46" t="s">
        <v>102</v>
      </c>
      <c r="I46" t="s">
        <v>103</v>
      </c>
    </row>
    <row r="47" spans="2:11" ht="14.45" thickBot="1">
      <c r="B47" s="24" t="s">
        <v>85</v>
      </c>
      <c r="C47" s="38">
        <f>ROUND(C44*C11/1000,1)</f>
        <v>3.6</v>
      </c>
      <c r="D47" s="26" t="s">
        <v>37</v>
      </c>
      <c r="E47" s="26"/>
      <c r="F47" s="26"/>
      <c r="G47" s="27"/>
    </row>
    <row r="48" spans="2:11" ht="14.45" thickBot="1"/>
    <row r="49" spans="2:7">
      <c r="B49" s="29" t="s">
        <v>104</v>
      </c>
      <c r="C49" s="18"/>
      <c r="D49" s="18"/>
      <c r="E49" s="18"/>
      <c r="F49" s="18"/>
      <c r="G49" s="20"/>
    </row>
    <row r="50" spans="2:7">
      <c r="B50" s="21" t="s">
        <v>105</v>
      </c>
      <c r="C50">
        <f>C8</f>
        <v>58.800000000000004</v>
      </c>
      <c r="D50" t="s">
        <v>3</v>
      </c>
      <c r="G50" s="22"/>
    </row>
    <row r="51" spans="2:7">
      <c r="B51" s="21" t="s">
        <v>106</v>
      </c>
      <c r="C51">
        <f>ROUND(C50*1000/2500,0)</f>
        <v>24</v>
      </c>
      <c r="D51" t="s">
        <v>107</v>
      </c>
      <c r="G51" s="22"/>
    </row>
    <row r="52" spans="2:7">
      <c r="B52" s="21" t="s">
        <v>48</v>
      </c>
      <c r="C52">
        <f>IF(E59=1,0,ROUND(C8/F59,1))</f>
        <v>0</v>
      </c>
      <c r="D52" t="s">
        <v>3</v>
      </c>
      <c r="G52" s="22"/>
    </row>
    <row r="53" spans="2:7">
      <c r="B53" s="21" t="s">
        <v>49</v>
      </c>
      <c r="C53" s="30">
        <f>ROUND(IF(C5=0,0,IF(E59=1,(C50/C5)*C4,0)),0)</f>
        <v>6690</v>
      </c>
      <c r="D53" t="s">
        <v>5</v>
      </c>
      <c r="G53" s="22"/>
    </row>
    <row r="54" spans="2:7">
      <c r="B54" s="21" t="s">
        <v>108</v>
      </c>
      <c r="C54">
        <f>ROUND(C52*C10+C53*C11/1000,1)</f>
        <v>12</v>
      </c>
      <c r="D54" t="s">
        <v>37</v>
      </c>
      <c r="G54" s="22"/>
    </row>
    <row r="55" spans="2:7">
      <c r="B55" s="21" t="s">
        <v>109</v>
      </c>
      <c r="C55">
        <f>IF(C53&gt;0,C50,0)+C52</f>
        <v>58.800000000000004</v>
      </c>
      <c r="D55" t="s">
        <v>3</v>
      </c>
      <c r="G55" s="22"/>
    </row>
    <row r="56" spans="2:7">
      <c r="B56" s="21" t="s">
        <v>110</v>
      </c>
      <c r="C56" s="30">
        <f>ROUND(C53*C13+C52*C12,-2)</f>
        <v>20100</v>
      </c>
      <c r="D56" t="s">
        <v>83</v>
      </c>
      <c r="G56" s="22"/>
    </row>
    <row r="57" spans="2:7">
      <c r="B57" s="21"/>
      <c r="G57" s="22"/>
    </row>
    <row r="58" spans="2:7">
      <c r="B58" s="36"/>
      <c r="C58" s="33" t="s">
        <v>111</v>
      </c>
      <c r="E58" t="s">
        <v>112</v>
      </c>
      <c r="F58" t="s">
        <v>111</v>
      </c>
      <c r="G58" s="22"/>
    </row>
    <row r="59" spans="2:7">
      <c r="B59" s="21" t="s">
        <v>113</v>
      </c>
      <c r="C59" s="34">
        <v>0</v>
      </c>
      <c r="E59">
        <v>1</v>
      </c>
      <c r="F59">
        <f>IF(E59=1,C59,IF(E59=2,C60,IF(E59=3,C61,0)))</f>
        <v>0</v>
      </c>
      <c r="G59" s="22"/>
    </row>
    <row r="60" spans="2:7">
      <c r="B60" s="21" t="s">
        <v>114</v>
      </c>
      <c r="C60" s="34">
        <v>4</v>
      </c>
      <c r="G60" s="22"/>
    </row>
    <row r="61" spans="2:7">
      <c r="B61" s="37" t="s">
        <v>115</v>
      </c>
      <c r="C61" s="35">
        <v>5.2</v>
      </c>
      <c r="G61" s="22"/>
    </row>
    <row r="62" spans="2:7">
      <c r="B62" s="21"/>
      <c r="G62" s="22"/>
    </row>
    <row r="63" spans="2:7">
      <c r="B63" s="42" t="s">
        <v>116</v>
      </c>
      <c r="C63" s="39"/>
      <c r="D63" s="39"/>
      <c r="E63" s="39"/>
      <c r="F63" s="39"/>
      <c r="G63" s="43"/>
    </row>
    <row r="64" spans="2:7">
      <c r="B64" s="21" t="s">
        <v>106</v>
      </c>
      <c r="C64">
        <f>C51</f>
        <v>24</v>
      </c>
      <c r="D64" t="s">
        <v>107</v>
      </c>
      <c r="G64" s="22"/>
    </row>
    <row r="65" spans="2:9">
      <c r="B65" s="21" t="s">
        <v>48</v>
      </c>
      <c r="C65">
        <f>IF(E77=1,0,ROUND(C50/F77,1))</f>
        <v>14.7</v>
      </c>
      <c r="D65" t="s">
        <v>3</v>
      </c>
      <c r="G65" s="22"/>
    </row>
    <row r="66" spans="2:9">
      <c r="B66" s="21" t="s">
        <v>49</v>
      </c>
      <c r="C66" s="30">
        <f>IF(E77=1,C53,0)</f>
        <v>0</v>
      </c>
      <c r="D66" t="s">
        <v>5</v>
      </c>
      <c r="G66" s="22"/>
    </row>
    <row r="67" spans="2:9">
      <c r="B67" s="21" t="s">
        <v>108</v>
      </c>
      <c r="C67" s="46">
        <f>ROUND(C65*C10+C66*C11/1000,1)</f>
        <v>4</v>
      </c>
      <c r="D67" t="s">
        <v>37</v>
      </c>
      <c r="G67" s="22"/>
    </row>
    <row r="68" spans="2:9">
      <c r="B68" s="21" t="s">
        <v>109</v>
      </c>
      <c r="C68">
        <f>IF(C66&gt;0,C50,0)+C65</f>
        <v>14.7</v>
      </c>
      <c r="D68" t="s">
        <v>3</v>
      </c>
      <c r="G68" s="22"/>
    </row>
    <row r="69" spans="2:9">
      <c r="B69" s="21" t="s">
        <v>110</v>
      </c>
      <c r="C69" s="30">
        <f>ROUND(C65*C12+C66*C13,-2)</f>
        <v>7800</v>
      </c>
      <c r="D69" t="s">
        <v>83</v>
      </c>
      <c r="G69" s="22"/>
    </row>
    <row r="70" spans="2:9">
      <c r="B70" s="21"/>
      <c r="C70" s="30"/>
      <c r="G70" s="22"/>
    </row>
    <row r="71" spans="2:9">
      <c r="B71" s="21" t="s">
        <v>85</v>
      </c>
      <c r="C71" s="46">
        <f>C54-C67</f>
        <v>8</v>
      </c>
      <c r="D71" t="s">
        <v>37</v>
      </c>
      <c r="G71" s="22"/>
    </row>
    <row r="72" spans="2:9">
      <c r="B72" s="21" t="s">
        <v>117</v>
      </c>
      <c r="C72" s="46">
        <f>C55-C68</f>
        <v>44.100000000000009</v>
      </c>
      <c r="D72" t="s">
        <v>3</v>
      </c>
      <c r="G72" s="22"/>
    </row>
    <row r="73" spans="2:9">
      <c r="B73" s="21" t="s">
        <v>82</v>
      </c>
      <c r="C73" s="30">
        <f>C56-C69</f>
        <v>12300</v>
      </c>
      <c r="D73" t="s">
        <v>83</v>
      </c>
      <c r="G73" s="22"/>
    </row>
    <row r="74" spans="2:9">
      <c r="B74" s="21" t="s">
        <v>80</v>
      </c>
      <c r="C74" s="30">
        <f>IF(E77=1,0,IF(E77=2,C64*475,C64*1600))</f>
        <v>11400</v>
      </c>
      <c r="D74" t="s">
        <v>83</v>
      </c>
      <c r="G74" s="22"/>
      <c r="H74" t="s">
        <v>118</v>
      </c>
      <c r="I74" t="s">
        <v>119</v>
      </c>
    </row>
    <row r="75" spans="2:9">
      <c r="B75" s="21"/>
      <c r="G75" s="22"/>
    </row>
    <row r="76" spans="2:9">
      <c r="B76" s="36"/>
      <c r="C76" s="33" t="s">
        <v>111</v>
      </c>
      <c r="E76" t="s">
        <v>112</v>
      </c>
      <c r="F76" t="s">
        <v>111</v>
      </c>
      <c r="G76" s="22"/>
    </row>
    <row r="77" spans="2:9">
      <c r="B77" s="21" t="s">
        <v>113</v>
      </c>
      <c r="C77" s="34">
        <v>0</v>
      </c>
      <c r="E77">
        <v>2</v>
      </c>
      <c r="F77">
        <f>IF(E77=1,C77,IF(E77=2,C78,IF(E77=3,C79,0)))</f>
        <v>4</v>
      </c>
      <c r="G77" s="22"/>
    </row>
    <row r="78" spans="2:9">
      <c r="B78" s="21" t="s">
        <v>114</v>
      </c>
      <c r="C78" s="34">
        <v>4</v>
      </c>
      <c r="G78" s="22"/>
      <c r="I78" t="s">
        <v>120</v>
      </c>
    </row>
    <row r="79" spans="2:9">
      <c r="B79" s="37" t="s">
        <v>115</v>
      </c>
      <c r="C79" s="35">
        <v>5.2</v>
      </c>
      <c r="G79" s="22"/>
      <c r="I79" t="s">
        <v>121</v>
      </c>
    </row>
    <row r="80" spans="2:9" ht="14.45" thickBot="1">
      <c r="B80" s="24"/>
      <c r="C80" s="26"/>
      <c r="D80" s="26"/>
      <c r="E80" s="26"/>
      <c r="F80" s="26"/>
      <c r="G80" s="27"/>
    </row>
    <row r="81" spans="2:9" ht="14.45" thickBot="1"/>
    <row r="82" spans="2:9">
      <c r="B82" s="29" t="s">
        <v>122</v>
      </c>
      <c r="C82" s="18"/>
      <c r="D82" s="18"/>
      <c r="E82" s="18"/>
      <c r="F82" s="18"/>
      <c r="G82" s="20"/>
    </row>
    <row r="83" spans="2:9">
      <c r="B83" s="21" t="s">
        <v>123</v>
      </c>
      <c r="C83">
        <f>C6*1800/1000</f>
        <v>41.4</v>
      </c>
      <c r="D83" t="s">
        <v>3</v>
      </c>
      <c r="G83" s="22"/>
    </row>
    <row r="84" spans="2:9">
      <c r="B84" s="21" t="s">
        <v>124</v>
      </c>
      <c r="C84">
        <f>C6*4</f>
        <v>92</v>
      </c>
      <c r="D84" t="s">
        <v>107</v>
      </c>
      <c r="G84" s="22"/>
    </row>
    <row r="85" spans="2:9">
      <c r="B85" s="21" t="s">
        <v>125</v>
      </c>
      <c r="C85" s="30">
        <f>IF(E91=1,C83*3600/(35.17*0.9),0)</f>
        <v>4708.5584304805225</v>
      </c>
      <c r="D85" t="s">
        <v>5</v>
      </c>
      <c r="G85" s="22"/>
    </row>
    <row r="86" spans="2:9">
      <c r="B86" s="21" t="s">
        <v>126</v>
      </c>
      <c r="C86">
        <f>IF(E91=1,0,C83/F91)</f>
        <v>0</v>
      </c>
      <c r="D86" t="s">
        <v>3</v>
      </c>
      <c r="G86" s="22"/>
    </row>
    <row r="87" spans="2:9">
      <c r="B87" s="21" t="s">
        <v>108</v>
      </c>
      <c r="C87" s="46">
        <f>ROUND(C86*C10+C85*C11/1000,1)</f>
        <v>8.4</v>
      </c>
      <c r="D87" t="s">
        <v>37</v>
      </c>
      <c r="G87" s="22"/>
    </row>
    <row r="88" spans="2:9">
      <c r="B88" s="21" t="s">
        <v>110</v>
      </c>
      <c r="C88" s="30">
        <f>ROUND(C86*C12+C85*C13,-2)</f>
        <v>14100</v>
      </c>
      <c r="D88" t="s">
        <v>83</v>
      </c>
      <c r="G88" s="22"/>
    </row>
    <row r="89" spans="2:9">
      <c r="B89" s="21"/>
      <c r="G89" s="22"/>
    </row>
    <row r="90" spans="2:9">
      <c r="B90" s="21"/>
      <c r="C90" t="s">
        <v>111</v>
      </c>
      <c r="E90" t="s">
        <v>112</v>
      </c>
      <c r="F90" t="s">
        <v>111</v>
      </c>
      <c r="G90" s="22"/>
    </row>
    <row r="91" spans="2:9">
      <c r="B91" s="21" t="s">
        <v>113</v>
      </c>
      <c r="C91">
        <v>0</v>
      </c>
      <c r="E91">
        <v>1</v>
      </c>
      <c r="F91">
        <f>IF(E91=1,C91,IF(E91=2,C92,IF(E91=3,C93,0)))</f>
        <v>0</v>
      </c>
      <c r="G91" s="22"/>
    </row>
    <row r="92" spans="2:9">
      <c r="B92" s="21" t="s">
        <v>127</v>
      </c>
      <c r="C92">
        <v>1</v>
      </c>
      <c r="G92" s="22"/>
    </row>
    <row r="93" spans="2:9">
      <c r="B93" s="21" t="s">
        <v>128</v>
      </c>
      <c r="C93">
        <v>2.8</v>
      </c>
      <c r="G93" s="22"/>
      <c r="I93" s="95" t="s">
        <v>129</v>
      </c>
    </row>
    <row r="94" spans="2:9">
      <c r="B94" s="36"/>
      <c r="C94" s="39"/>
      <c r="D94" s="39"/>
      <c r="E94" s="39"/>
      <c r="F94" s="39"/>
      <c r="G94" s="43"/>
    </row>
    <row r="95" spans="2:9">
      <c r="B95" s="23" t="s">
        <v>130</v>
      </c>
      <c r="G95" s="22"/>
    </row>
    <row r="96" spans="2:9">
      <c r="B96" s="21" t="s">
        <v>131</v>
      </c>
      <c r="C96">
        <f>C83</f>
        <v>41.4</v>
      </c>
      <c r="D96" t="s">
        <v>3</v>
      </c>
      <c r="G96" s="22"/>
    </row>
    <row r="97" spans="2:7">
      <c r="B97" s="21" t="s">
        <v>125</v>
      </c>
      <c r="C97" s="30">
        <f>IF(E107=1,C96*3600/(35.17*0.9),0)</f>
        <v>0</v>
      </c>
      <c r="D97" t="s">
        <v>5</v>
      </c>
      <c r="G97" s="22"/>
    </row>
    <row r="98" spans="2:7">
      <c r="B98" s="21" t="s">
        <v>126</v>
      </c>
      <c r="C98">
        <f>ROUND(IF(E107=1,0,C96/F107),0)</f>
        <v>15</v>
      </c>
      <c r="D98" t="s">
        <v>3</v>
      </c>
      <c r="G98" s="22"/>
    </row>
    <row r="99" spans="2:7">
      <c r="B99" s="21" t="s">
        <v>132</v>
      </c>
      <c r="C99" s="46">
        <f>ROUND(C98*C10+C97*C11/1000,1)</f>
        <v>4.0999999999999996</v>
      </c>
      <c r="D99" t="s">
        <v>37</v>
      </c>
      <c r="G99" s="22"/>
    </row>
    <row r="100" spans="2:7">
      <c r="B100" s="21" t="s">
        <v>110</v>
      </c>
      <c r="C100" s="30">
        <f>ROUND(C97*C13+C98*C12,-2)</f>
        <v>8000</v>
      </c>
      <c r="D100" t="s">
        <v>83</v>
      </c>
      <c r="G100" s="22"/>
    </row>
    <row r="101" spans="2:7">
      <c r="B101" s="21"/>
      <c r="C101" s="30"/>
      <c r="G101" s="22"/>
    </row>
    <row r="102" spans="2:7">
      <c r="B102" s="21" t="s">
        <v>85</v>
      </c>
      <c r="C102" s="46">
        <f>C87-C99</f>
        <v>4.3000000000000007</v>
      </c>
      <c r="D102" t="s">
        <v>37</v>
      </c>
      <c r="G102" s="22"/>
    </row>
    <row r="103" spans="2:7">
      <c r="B103" s="21" t="s">
        <v>82</v>
      </c>
      <c r="C103" s="30">
        <f>C88-C100</f>
        <v>6100</v>
      </c>
      <c r="D103" t="s">
        <v>83</v>
      </c>
      <c r="G103" s="22"/>
    </row>
    <row r="104" spans="2:7">
      <c r="B104" s="21" t="s">
        <v>80</v>
      </c>
      <c r="C104" s="30">
        <f>IF(C102=0,0,IF(E107=2,C84*300,IF(E107=3,C84*350)))</f>
        <v>32200</v>
      </c>
      <c r="D104" t="s">
        <v>81</v>
      </c>
      <c r="G104" s="22"/>
    </row>
    <row r="105" spans="2:7">
      <c r="B105" s="21"/>
      <c r="G105" s="22"/>
    </row>
    <row r="106" spans="2:7">
      <c r="B106" s="21"/>
      <c r="C106" t="s">
        <v>111</v>
      </c>
      <c r="E106" t="s">
        <v>112</v>
      </c>
      <c r="F106" t="s">
        <v>111</v>
      </c>
      <c r="G106" s="22"/>
    </row>
    <row r="107" spans="2:7">
      <c r="B107" s="21" t="s">
        <v>113</v>
      </c>
      <c r="C107">
        <v>0</v>
      </c>
      <c r="E107">
        <v>3</v>
      </c>
      <c r="F107">
        <f>IF(E107=1,C107,IF(E107=2,C108,IF(E107=3,C109,0)))</f>
        <v>2.8</v>
      </c>
      <c r="G107" s="22"/>
    </row>
    <row r="108" spans="2:7">
      <c r="B108" s="21" t="s">
        <v>127</v>
      </c>
      <c r="C108">
        <v>1</v>
      </c>
      <c r="G108" s="22"/>
    </row>
    <row r="109" spans="2:7" ht="14.45" thickBot="1">
      <c r="B109" s="24" t="s">
        <v>128</v>
      </c>
      <c r="C109" s="26">
        <v>2.8</v>
      </c>
      <c r="D109" s="26"/>
      <c r="E109" s="26"/>
      <c r="F109" s="26"/>
      <c r="G109" s="27"/>
    </row>
    <row r="110" spans="2:7" ht="14.45" thickBot="1"/>
    <row r="111" spans="2:7">
      <c r="B111" s="29" t="s">
        <v>133</v>
      </c>
      <c r="C111" s="18"/>
      <c r="D111" s="18"/>
      <c r="E111" s="18"/>
      <c r="F111" s="18"/>
      <c r="G111" s="20"/>
    </row>
    <row r="112" spans="2:7">
      <c r="B112" s="21" t="s">
        <v>134</v>
      </c>
      <c r="C112">
        <f>INVULFORMULIER!H33</f>
        <v>0</v>
      </c>
      <c r="D112" t="s">
        <v>26</v>
      </c>
      <c r="G112" s="22"/>
    </row>
    <row r="113" spans="2:9">
      <c r="B113" s="21"/>
      <c r="G113" s="22"/>
    </row>
    <row r="114" spans="2:9">
      <c r="B114" s="23" t="s">
        <v>135</v>
      </c>
      <c r="G114" s="22"/>
    </row>
    <row r="115" spans="2:9">
      <c r="B115" s="21" t="s">
        <v>136</v>
      </c>
      <c r="C115">
        <f>INVULFORMULIER!Q33-C112</f>
        <v>200</v>
      </c>
      <c r="D115" t="s">
        <v>26</v>
      </c>
      <c r="G115" s="22"/>
    </row>
    <row r="116" spans="2:9">
      <c r="B116" s="21" t="s">
        <v>137</v>
      </c>
      <c r="C116" s="30">
        <v>4000</v>
      </c>
      <c r="D116" t="s">
        <v>138</v>
      </c>
      <c r="G116" s="22"/>
    </row>
    <row r="117" spans="2:9">
      <c r="B117" s="21" t="s">
        <v>82</v>
      </c>
      <c r="C117">
        <v>30</v>
      </c>
      <c r="D117" t="s">
        <v>139</v>
      </c>
      <c r="G117" s="22"/>
    </row>
    <row r="118" spans="2:9">
      <c r="B118" s="21" t="s">
        <v>41</v>
      </c>
      <c r="C118">
        <f>C115*C116*C117/(1000*1000)</f>
        <v>24</v>
      </c>
      <c r="D118" t="s">
        <v>3</v>
      </c>
      <c r="G118" s="22"/>
      <c r="I118" t="s">
        <v>140</v>
      </c>
    </row>
    <row r="119" spans="2:9">
      <c r="B119" s="21" t="s">
        <v>82</v>
      </c>
      <c r="C119" s="30">
        <f>ROUND(C118*C12,-2)</f>
        <v>12700</v>
      </c>
      <c r="D119" t="s">
        <v>83</v>
      </c>
      <c r="G119" s="22"/>
    </row>
    <row r="120" spans="2:9">
      <c r="B120" s="21" t="s">
        <v>80</v>
      </c>
      <c r="C120" s="30">
        <f>C115*25</f>
        <v>5000</v>
      </c>
      <c r="D120" t="s">
        <v>81</v>
      </c>
      <c r="G120" s="22"/>
      <c r="I120" s="95" t="s">
        <v>140</v>
      </c>
    </row>
    <row r="121" spans="2:9" ht="14.45" thickBot="1">
      <c r="B121" s="24" t="s">
        <v>85</v>
      </c>
      <c r="C121" s="38">
        <f>ROUND(C118*C10,1)</f>
        <v>6.5</v>
      </c>
      <c r="D121" s="26" t="s">
        <v>37</v>
      </c>
      <c r="E121" s="26"/>
      <c r="F121" s="26"/>
      <c r="G121" s="27"/>
    </row>
    <row r="122" spans="2:9" ht="14.45" thickBot="1"/>
    <row r="123" spans="2:9">
      <c r="B123" s="29" t="s">
        <v>141</v>
      </c>
      <c r="C123" s="18"/>
      <c r="D123" s="18"/>
      <c r="E123" s="18"/>
      <c r="F123" s="18"/>
      <c r="G123" s="20"/>
    </row>
    <row r="124" spans="2:9">
      <c r="B124" s="21" t="s">
        <v>142</v>
      </c>
      <c r="C124">
        <f>INVULFORMULIER!H35</f>
        <v>0</v>
      </c>
      <c r="D124" t="s">
        <v>28</v>
      </c>
      <c r="G124" s="22"/>
    </row>
    <row r="125" spans="2:9">
      <c r="B125" s="21"/>
      <c r="G125" s="22"/>
    </row>
    <row r="126" spans="2:9">
      <c r="B126" s="23" t="s">
        <v>143</v>
      </c>
      <c r="G126" s="22"/>
    </row>
    <row r="127" spans="2:9">
      <c r="B127" s="21" t="s">
        <v>144</v>
      </c>
      <c r="C127">
        <f>INVULFORMULIER!Q35-C124</f>
        <v>18</v>
      </c>
      <c r="D127" t="s">
        <v>28</v>
      </c>
      <c r="G127" s="22"/>
    </row>
    <row r="128" spans="2:9">
      <c r="B128" s="21" t="s">
        <v>145</v>
      </c>
      <c r="C128">
        <v>50</v>
      </c>
      <c r="D128" t="s">
        <v>50</v>
      </c>
      <c r="G128" s="22"/>
      <c r="I128" t="s">
        <v>146</v>
      </c>
    </row>
    <row r="129" spans="2:12">
      <c r="B129" s="21" t="s">
        <v>82</v>
      </c>
      <c r="C129">
        <f>C127*C128</f>
        <v>900</v>
      </c>
      <c r="D129" t="s">
        <v>50</v>
      </c>
      <c r="G129" s="22"/>
    </row>
    <row r="130" spans="2:12">
      <c r="B130" s="21"/>
      <c r="C130">
        <f>ROUND(C129*35.16/3600,1)</f>
        <v>8.8000000000000007</v>
      </c>
      <c r="D130" t="s">
        <v>3</v>
      </c>
      <c r="G130" s="22"/>
    </row>
    <row r="131" spans="2:12">
      <c r="B131" s="21" t="s">
        <v>147</v>
      </c>
      <c r="C131">
        <f>IF(E107=1,C129,0)</f>
        <v>0</v>
      </c>
      <c r="D131" t="s">
        <v>50</v>
      </c>
      <c r="G131" s="22"/>
    </row>
    <row r="132" spans="2:12">
      <c r="B132" s="21" t="s">
        <v>148</v>
      </c>
      <c r="C132">
        <f>ROUND(IF(E107=1,0,C130/F107),1)</f>
        <v>3.1</v>
      </c>
      <c r="D132" t="s">
        <v>3</v>
      </c>
      <c r="G132" s="22"/>
    </row>
    <row r="133" spans="2:12">
      <c r="B133" s="21" t="s">
        <v>85</v>
      </c>
      <c r="C133">
        <f>ROUND(C131*C11/1000+C132*C10,1)</f>
        <v>0.8</v>
      </c>
      <c r="D133" t="s">
        <v>37</v>
      </c>
      <c r="G133" s="22"/>
    </row>
    <row r="134" spans="2:12">
      <c r="B134" s="21" t="s">
        <v>80</v>
      </c>
      <c r="C134" s="30">
        <f>C127*65</f>
        <v>1170</v>
      </c>
      <c r="D134" t="s">
        <v>81</v>
      </c>
      <c r="G134" s="22"/>
      <c r="I134" t="s">
        <v>149</v>
      </c>
    </row>
    <row r="135" spans="2:12" ht="14.45" thickBot="1">
      <c r="B135" s="24" t="s">
        <v>82</v>
      </c>
      <c r="C135" s="51">
        <f>ROUND(C129*C13,-2)</f>
        <v>2700</v>
      </c>
      <c r="D135" s="26" t="s">
        <v>83</v>
      </c>
      <c r="E135" s="26"/>
      <c r="F135" s="26"/>
      <c r="G135" s="27"/>
    </row>
    <row r="136" spans="2:12" ht="14.45" thickBot="1">
      <c r="C136" s="31"/>
    </row>
    <row r="137" spans="2:12">
      <c r="B137" s="29" t="s">
        <v>150</v>
      </c>
      <c r="C137" s="18"/>
      <c r="D137" s="20"/>
    </row>
    <row r="138" spans="2:12">
      <c r="B138" s="21" t="s">
        <v>151</v>
      </c>
      <c r="C138" s="30">
        <f>220*24</f>
        <v>5280</v>
      </c>
      <c r="D138" s="22" t="s">
        <v>138</v>
      </c>
      <c r="I138" t="s">
        <v>152</v>
      </c>
    </row>
    <row r="139" spans="2:12">
      <c r="B139" s="21" t="s">
        <v>153</v>
      </c>
      <c r="C139">
        <v>6.6</v>
      </c>
      <c r="D139" s="22" t="s">
        <v>154</v>
      </c>
    </row>
    <row r="140" spans="2:12">
      <c r="B140" s="21" t="s">
        <v>155</v>
      </c>
      <c r="C140">
        <v>21</v>
      </c>
      <c r="D140" s="22" t="s">
        <v>154</v>
      </c>
    </row>
    <row r="141" spans="2:12" ht="14.45" thickBot="1">
      <c r="B141" s="24" t="s">
        <v>156</v>
      </c>
      <c r="C141" s="26">
        <f>C140-C139</f>
        <v>14.4</v>
      </c>
      <c r="D141" s="27" t="s">
        <v>157</v>
      </c>
    </row>
    <row r="143" spans="2:12" ht="14.45" thickBot="1"/>
    <row r="144" spans="2:12">
      <c r="B144" s="29" t="s">
        <v>158</v>
      </c>
      <c r="C144" s="18"/>
      <c r="D144" s="18"/>
      <c r="E144" s="18"/>
      <c r="F144" s="18"/>
      <c r="G144" s="18"/>
      <c r="H144" s="18"/>
      <c r="I144" s="18"/>
      <c r="J144" s="18"/>
      <c r="K144" s="18"/>
      <c r="L144" s="20"/>
    </row>
    <row r="145" spans="2:12">
      <c r="B145" s="21" t="s">
        <v>159</v>
      </c>
      <c r="C145">
        <f>180*0.75</f>
        <v>135</v>
      </c>
      <c r="D145" t="s">
        <v>24</v>
      </c>
      <c r="L145" s="22"/>
    </row>
    <row r="146" spans="2:12">
      <c r="B146" s="21" t="s">
        <v>160</v>
      </c>
      <c r="C146">
        <f>C145*INVULFORMULIER!$H$19</f>
        <v>1485</v>
      </c>
      <c r="D146" t="s">
        <v>24</v>
      </c>
      <c r="L146" s="22"/>
    </row>
    <row r="147" spans="2:12">
      <c r="B147" s="21"/>
      <c r="L147" s="22"/>
    </row>
    <row r="148" spans="2:12">
      <c r="B148" s="21"/>
      <c r="C148" t="s">
        <v>161</v>
      </c>
      <c r="I148" t="s">
        <v>161</v>
      </c>
      <c r="L148" s="22"/>
    </row>
    <row r="149" spans="2:12">
      <c r="B149" s="21" t="s">
        <v>162</v>
      </c>
      <c r="C149">
        <v>1.3</v>
      </c>
      <c r="E149" t="s">
        <v>112</v>
      </c>
      <c r="F149" t="s">
        <v>161</v>
      </c>
      <c r="H149" t="s">
        <v>162</v>
      </c>
      <c r="I149">
        <v>1.3</v>
      </c>
      <c r="K149" t="s">
        <v>112</v>
      </c>
      <c r="L149" s="22" t="s">
        <v>161</v>
      </c>
    </row>
    <row r="150" spans="2:12">
      <c r="B150" s="21" t="s">
        <v>163</v>
      </c>
      <c r="C150">
        <v>4.2</v>
      </c>
      <c r="E150">
        <v>2</v>
      </c>
      <c r="F150">
        <f>IF(E150=1,C149,IF(E150=2,C150,IF(E150=3,C151,0)))</f>
        <v>4.2</v>
      </c>
      <c r="H150" t="s">
        <v>163</v>
      </c>
      <c r="I150">
        <v>4.2</v>
      </c>
      <c r="K150">
        <v>2</v>
      </c>
      <c r="L150" s="22">
        <f>IF(K150=1,I149,IF(K150=2,I150,IF(K150=3,I151,0)))</f>
        <v>4.2</v>
      </c>
    </row>
    <row r="151" spans="2:12">
      <c r="B151" s="21" t="s">
        <v>164</v>
      </c>
      <c r="C151">
        <v>7.3</v>
      </c>
      <c r="E151" t="s">
        <v>165</v>
      </c>
      <c r="F151">
        <f>1/F150</f>
        <v>0.23809523809523808</v>
      </c>
      <c r="H151" t="s">
        <v>166</v>
      </c>
      <c r="I151">
        <v>7.3</v>
      </c>
      <c r="K151" t="s">
        <v>165</v>
      </c>
      <c r="L151" s="22">
        <f>1/L150</f>
        <v>0.23809523809523808</v>
      </c>
    </row>
    <row r="152" spans="2:12">
      <c r="B152" s="21"/>
      <c r="L152" s="22"/>
    </row>
    <row r="153" spans="2:12">
      <c r="B153" s="21" t="s">
        <v>167</v>
      </c>
      <c r="C153">
        <f>ROUND((F151-L151)*C146*$C$141/1000,2)</f>
        <v>0</v>
      </c>
      <c r="D153" t="s">
        <v>107</v>
      </c>
      <c r="L153" s="22"/>
    </row>
    <row r="154" spans="2:12">
      <c r="B154" s="21" t="s">
        <v>168</v>
      </c>
      <c r="C154">
        <f>C153*$C$138/1000</f>
        <v>0</v>
      </c>
      <c r="D154" t="s">
        <v>3</v>
      </c>
      <c r="L154" s="22"/>
    </row>
    <row r="155" spans="2:12">
      <c r="B155" s="21"/>
      <c r="C155">
        <f>C154*3.6</f>
        <v>0</v>
      </c>
      <c r="D155" t="s">
        <v>169</v>
      </c>
      <c r="L155" s="22"/>
    </row>
    <row r="156" spans="2:12">
      <c r="B156" s="21"/>
      <c r="C156" s="30">
        <f>IF($E$77=1,ROUND(C155*1000/(35.17*0.9),0),0)</f>
        <v>0</v>
      </c>
      <c r="D156" t="s">
        <v>5</v>
      </c>
      <c r="L156" s="22"/>
    </row>
    <row r="157" spans="2:12">
      <c r="B157" s="21"/>
      <c r="C157">
        <f>ROUND(IF($E$77=1,0,C154/$F$77),2)</f>
        <v>0</v>
      </c>
      <c r="D157" t="s">
        <v>170</v>
      </c>
      <c r="L157" s="22"/>
    </row>
    <row r="158" spans="2:12">
      <c r="B158" s="21" t="s">
        <v>85</v>
      </c>
      <c r="C158">
        <f>ROUND(C156*$C$11/1000+C157*$C$10,2)</f>
        <v>0</v>
      </c>
      <c r="D158" t="s">
        <v>37</v>
      </c>
      <c r="L158" s="22"/>
    </row>
    <row r="159" spans="2:12">
      <c r="B159" s="21" t="s">
        <v>82</v>
      </c>
      <c r="C159" s="30">
        <f>ROUND(C156*$C$13+C157*$C$12,-1)</f>
        <v>0</v>
      </c>
      <c r="D159" t="s">
        <v>83</v>
      </c>
      <c r="L159" s="22"/>
    </row>
    <row r="160" spans="2:12" ht="14.45" thickBot="1">
      <c r="B160" s="24" t="s">
        <v>80</v>
      </c>
      <c r="C160" s="51">
        <f>IF(C159=0,0,IF(K150=2,C146*77,IF(K150=3,C146*85,0)))</f>
        <v>0</v>
      </c>
      <c r="D160" s="26" t="s">
        <v>81</v>
      </c>
      <c r="E160" s="26"/>
      <c r="F160" s="26"/>
      <c r="G160" s="26"/>
      <c r="H160" s="26"/>
      <c r="I160" s="26"/>
      <c r="J160" s="26"/>
      <c r="K160" s="26"/>
      <c r="L160" s="27"/>
    </row>
    <row r="161" spans="2:12" ht="14.45" thickBot="1"/>
    <row r="162" spans="2:12">
      <c r="B162" s="29" t="s">
        <v>32</v>
      </c>
      <c r="C162" s="18"/>
      <c r="D162" s="18"/>
      <c r="E162" s="18"/>
      <c r="F162" s="18"/>
      <c r="G162" s="18"/>
      <c r="H162" s="18"/>
      <c r="I162" s="18"/>
      <c r="J162" s="18"/>
      <c r="K162" s="18"/>
      <c r="L162" s="20"/>
    </row>
    <row r="163" spans="2:12">
      <c r="B163" s="21" t="s">
        <v>171</v>
      </c>
      <c r="C163">
        <f>3*15</f>
        <v>45</v>
      </c>
      <c r="D163" t="s">
        <v>24</v>
      </c>
      <c r="L163" s="22"/>
    </row>
    <row r="164" spans="2:12">
      <c r="B164" s="21" t="s">
        <v>172</v>
      </c>
      <c r="C164">
        <f>C163*INVULFORMULIER!$H$19</f>
        <v>495</v>
      </c>
      <c r="D164" t="s">
        <v>24</v>
      </c>
      <c r="L164" s="22"/>
    </row>
    <row r="165" spans="2:12">
      <c r="B165" s="21"/>
      <c r="L165" s="22"/>
    </row>
    <row r="166" spans="2:12">
      <c r="B166" s="21"/>
      <c r="C166" t="s">
        <v>161</v>
      </c>
      <c r="I166" t="s">
        <v>161</v>
      </c>
      <c r="L166" s="22"/>
    </row>
    <row r="167" spans="2:12">
      <c r="B167" s="21" t="s">
        <v>173</v>
      </c>
      <c r="C167">
        <v>1.3</v>
      </c>
      <c r="E167" t="s">
        <v>112</v>
      </c>
      <c r="F167" t="s">
        <v>161</v>
      </c>
      <c r="H167" t="s">
        <v>162</v>
      </c>
      <c r="I167">
        <v>1.3</v>
      </c>
      <c r="K167" t="s">
        <v>112</v>
      </c>
      <c r="L167" s="22" t="s">
        <v>161</v>
      </c>
    </row>
    <row r="168" spans="2:12">
      <c r="B168" s="21" t="s">
        <v>163</v>
      </c>
      <c r="C168">
        <v>4.2</v>
      </c>
      <c r="E168">
        <v>2</v>
      </c>
      <c r="F168">
        <f>IF(E168=1,C167,IF(E168=2,C168,IF(E168=3,C169,0)))</f>
        <v>4.2</v>
      </c>
      <c r="H168" t="s">
        <v>163</v>
      </c>
      <c r="I168">
        <v>4.2</v>
      </c>
      <c r="K168">
        <v>2</v>
      </c>
      <c r="L168" s="22">
        <f>IF(K168=1,I167,IF(K168=2,I168,IF(K168=3,I169,0)))</f>
        <v>4.2</v>
      </c>
    </row>
    <row r="169" spans="2:12">
      <c r="B169" s="21" t="s">
        <v>174</v>
      </c>
      <c r="C169">
        <v>5.7</v>
      </c>
      <c r="E169" t="s">
        <v>165</v>
      </c>
      <c r="F169">
        <f>1/F168</f>
        <v>0.23809523809523808</v>
      </c>
      <c r="H169" t="s">
        <v>174</v>
      </c>
      <c r="I169">
        <v>5.7</v>
      </c>
      <c r="K169" t="s">
        <v>165</v>
      </c>
      <c r="L169" s="22">
        <f>1/L168</f>
        <v>0.23809523809523808</v>
      </c>
    </row>
    <row r="170" spans="2:12">
      <c r="B170" s="21"/>
      <c r="L170" s="22"/>
    </row>
    <row r="171" spans="2:12">
      <c r="B171" s="21" t="s">
        <v>167</v>
      </c>
      <c r="C171">
        <f>ROUND((F169-L169)*C164*$C$141/1000,2)</f>
        <v>0</v>
      </c>
      <c r="D171" t="s">
        <v>107</v>
      </c>
      <c r="L171" s="22"/>
    </row>
    <row r="172" spans="2:12">
      <c r="B172" s="21" t="s">
        <v>168</v>
      </c>
      <c r="C172">
        <f>C171*$C$138/1000</f>
        <v>0</v>
      </c>
      <c r="D172" t="s">
        <v>3</v>
      </c>
      <c r="L172" s="22"/>
    </row>
    <row r="173" spans="2:12">
      <c r="B173" s="21"/>
      <c r="C173">
        <f>C172*3.6</f>
        <v>0</v>
      </c>
      <c r="D173" t="s">
        <v>169</v>
      </c>
      <c r="L173" s="22"/>
    </row>
    <row r="174" spans="2:12">
      <c r="B174" s="21"/>
      <c r="C174" s="30">
        <f>IF($E$77=1,ROUND(C173*1000/(35.17*0.9),0),0)</f>
        <v>0</v>
      </c>
      <c r="D174" t="s">
        <v>5</v>
      </c>
      <c r="L174" s="22"/>
    </row>
    <row r="175" spans="2:12">
      <c r="B175" s="21"/>
      <c r="C175">
        <f>ROUND(IF($E$77=1,0,C172/$F$77),2)</f>
        <v>0</v>
      </c>
      <c r="D175" t="s">
        <v>170</v>
      </c>
      <c r="L175" s="22"/>
    </row>
    <row r="176" spans="2:12">
      <c r="B176" s="21" t="s">
        <v>85</v>
      </c>
      <c r="C176">
        <f>ROUND(C174*$C$11/1000+C175*$C$10,2)</f>
        <v>0</v>
      </c>
      <c r="D176" t="s">
        <v>37</v>
      </c>
      <c r="L176" s="22"/>
    </row>
    <row r="177" spans="2:12">
      <c r="B177" s="21" t="s">
        <v>82</v>
      </c>
      <c r="C177" s="30">
        <f>ROUND(C174*$C$13+C175*$C$12,-2)</f>
        <v>0</v>
      </c>
      <c r="D177" t="s">
        <v>83</v>
      </c>
      <c r="L177" s="22"/>
    </row>
    <row r="178" spans="2:12" ht="14.45" thickBot="1">
      <c r="B178" s="24" t="s">
        <v>80</v>
      </c>
      <c r="C178" s="51">
        <f>ROUND(IF(C177=0,0,IF(K168=2,C164*31,IF(K168=3,C164*35,0))),-2)</f>
        <v>0</v>
      </c>
      <c r="D178" s="26" t="s">
        <v>81</v>
      </c>
      <c r="E178" s="26"/>
      <c r="F178" s="26"/>
      <c r="G178" s="26"/>
      <c r="H178" s="26"/>
      <c r="I178" s="26"/>
      <c r="J178" s="26"/>
      <c r="K178" s="26"/>
      <c r="L178" s="27"/>
    </row>
    <row r="179" spans="2:12" ht="14.45" thickBot="1"/>
    <row r="180" spans="2:12">
      <c r="B180" s="29" t="s">
        <v>33</v>
      </c>
      <c r="C180" s="18"/>
      <c r="D180" s="18"/>
      <c r="E180" s="18"/>
      <c r="F180" s="18"/>
      <c r="G180" s="18"/>
      <c r="H180" s="18"/>
      <c r="I180" s="18"/>
      <c r="J180" s="18"/>
      <c r="K180" s="18"/>
      <c r="L180" s="20"/>
    </row>
    <row r="181" spans="2:12">
      <c r="B181" s="21" t="s">
        <v>175</v>
      </c>
      <c r="C181">
        <f>C163</f>
        <v>45</v>
      </c>
      <c r="D181" t="s">
        <v>24</v>
      </c>
      <c r="L181" s="22"/>
    </row>
    <row r="182" spans="2:12">
      <c r="B182" s="21" t="s">
        <v>176</v>
      </c>
      <c r="C182">
        <f>C181*INVULFORMULIER!$H$19</f>
        <v>495</v>
      </c>
      <c r="D182" t="s">
        <v>24</v>
      </c>
      <c r="L182" s="22"/>
    </row>
    <row r="183" spans="2:12">
      <c r="B183" s="21"/>
      <c r="L183" s="22"/>
    </row>
    <row r="184" spans="2:12">
      <c r="B184" s="21"/>
      <c r="C184" t="s">
        <v>161</v>
      </c>
      <c r="I184" t="s">
        <v>161</v>
      </c>
      <c r="L184" s="22"/>
    </row>
    <row r="185" spans="2:12">
      <c r="B185" s="21" t="s">
        <v>162</v>
      </c>
      <c r="C185">
        <v>1.3</v>
      </c>
      <c r="E185" t="s">
        <v>112</v>
      </c>
      <c r="F185" t="s">
        <v>161</v>
      </c>
      <c r="H185" t="s">
        <v>162</v>
      </c>
      <c r="I185">
        <v>1.3</v>
      </c>
      <c r="K185" t="s">
        <v>112</v>
      </c>
      <c r="L185" s="22" t="s">
        <v>161</v>
      </c>
    </row>
    <row r="186" spans="2:12">
      <c r="B186" s="21" t="s">
        <v>177</v>
      </c>
      <c r="C186">
        <v>4.2</v>
      </c>
      <c r="E186">
        <v>2</v>
      </c>
      <c r="F186">
        <f>IF(E186=1,C185,IF(E186=2,C186,IF(E186=3,C187,0)))</f>
        <v>4.2</v>
      </c>
      <c r="H186" t="s">
        <v>177</v>
      </c>
      <c r="I186">
        <v>4.2</v>
      </c>
      <c r="K186">
        <v>2</v>
      </c>
      <c r="L186" s="22">
        <f>IF(K186=1,I185,IF(K186=2,I186,IF(K186=3,I187,0)))</f>
        <v>4.2</v>
      </c>
    </row>
    <row r="187" spans="2:12">
      <c r="B187" s="21" t="s">
        <v>178</v>
      </c>
      <c r="C187">
        <v>7.3</v>
      </c>
      <c r="E187" t="s">
        <v>165</v>
      </c>
      <c r="F187">
        <f>1/F186</f>
        <v>0.23809523809523808</v>
      </c>
      <c r="H187" t="s">
        <v>178</v>
      </c>
      <c r="I187">
        <v>7.3</v>
      </c>
      <c r="K187" t="s">
        <v>165</v>
      </c>
      <c r="L187" s="22">
        <f>1/L186</f>
        <v>0.23809523809523808</v>
      </c>
    </row>
    <row r="188" spans="2:12">
      <c r="B188" s="21"/>
      <c r="L188" s="22"/>
    </row>
    <row r="189" spans="2:12">
      <c r="B189" s="21" t="s">
        <v>167</v>
      </c>
      <c r="C189">
        <f>ROUND((F187-L187)*C182*$C$141/1000,2)</f>
        <v>0</v>
      </c>
      <c r="D189" t="s">
        <v>107</v>
      </c>
      <c r="L189" s="22"/>
    </row>
    <row r="190" spans="2:12">
      <c r="B190" s="21" t="s">
        <v>168</v>
      </c>
      <c r="C190">
        <f>C189*$C$138/1000</f>
        <v>0</v>
      </c>
      <c r="D190" t="s">
        <v>3</v>
      </c>
      <c r="L190" s="22"/>
    </row>
    <row r="191" spans="2:12">
      <c r="B191" s="21"/>
      <c r="C191">
        <f>C190*3.6</f>
        <v>0</v>
      </c>
      <c r="D191" t="s">
        <v>169</v>
      </c>
      <c r="L191" s="22"/>
    </row>
    <row r="192" spans="2:12">
      <c r="B192" s="21"/>
      <c r="C192">
        <f>IF($E$77=1,ROUND(C191*1000/(35.17*0.9),0),0)</f>
        <v>0</v>
      </c>
      <c r="D192" t="s">
        <v>5</v>
      </c>
      <c r="L192" s="22"/>
    </row>
    <row r="193" spans="2:12">
      <c r="B193" s="21"/>
      <c r="C193">
        <f>ROUND(IF($E$77=1,0,C190/$F$77),2)</f>
        <v>0</v>
      </c>
      <c r="D193" t="s">
        <v>170</v>
      </c>
      <c r="L193" s="22"/>
    </row>
    <row r="194" spans="2:12">
      <c r="B194" s="21" t="s">
        <v>85</v>
      </c>
      <c r="C194">
        <f>ROUND(C192*$C$11/1000+C193*$C$10,2)</f>
        <v>0</v>
      </c>
      <c r="D194" t="s">
        <v>37</v>
      </c>
      <c r="L194" s="22"/>
    </row>
    <row r="195" spans="2:12">
      <c r="B195" s="21" t="s">
        <v>82</v>
      </c>
      <c r="C195" s="30">
        <f>ROUND(C192*$C$13+C193*$C$12,-2)</f>
        <v>0</v>
      </c>
      <c r="D195" t="s">
        <v>83</v>
      </c>
      <c r="L195" s="22"/>
    </row>
    <row r="196" spans="2:12" ht="14.45" thickBot="1">
      <c r="B196" s="24" t="s">
        <v>80</v>
      </c>
      <c r="C196" s="51">
        <f>ROUND(IF(C195=0,0,IF(K186=2,C182*73,IF(K186=3,C182*80,0))),-2)</f>
        <v>0</v>
      </c>
      <c r="D196" s="26" t="s">
        <v>81</v>
      </c>
      <c r="E196" s="26"/>
      <c r="F196" s="26"/>
      <c r="G196" s="26"/>
      <c r="H196" s="26"/>
      <c r="I196" s="26"/>
      <c r="J196" s="26"/>
      <c r="K196" s="26"/>
      <c r="L196" s="27"/>
    </row>
    <row r="197" spans="2:12" ht="14.45" thickBot="1"/>
    <row r="198" spans="2:12">
      <c r="B198" s="29" t="s">
        <v>34</v>
      </c>
      <c r="C198" s="18"/>
      <c r="D198" s="18"/>
      <c r="E198" s="18"/>
      <c r="F198" s="18"/>
      <c r="G198" s="18"/>
      <c r="H198" s="18"/>
      <c r="I198" s="18"/>
      <c r="J198" s="18"/>
      <c r="K198" s="18"/>
      <c r="L198" s="20"/>
    </row>
    <row r="199" spans="2:12">
      <c r="B199" s="21" t="s">
        <v>179</v>
      </c>
      <c r="C199">
        <f>0.25*C145</f>
        <v>33.75</v>
      </c>
      <c r="D199" t="s">
        <v>24</v>
      </c>
      <c r="L199" s="22"/>
    </row>
    <row r="200" spans="2:12">
      <c r="B200" s="21" t="s">
        <v>180</v>
      </c>
      <c r="C200">
        <f>C199*INVULFORMULIER!$H$19</f>
        <v>371.25</v>
      </c>
      <c r="D200" t="s">
        <v>24</v>
      </c>
      <c r="L200" s="22"/>
    </row>
    <row r="201" spans="2:12">
      <c r="B201" s="21"/>
      <c r="L201" s="22"/>
    </row>
    <row r="202" spans="2:12">
      <c r="B202" s="21"/>
      <c r="C202" t="s">
        <v>165</v>
      </c>
      <c r="I202" t="s">
        <v>165</v>
      </c>
      <c r="L202" s="22"/>
    </row>
    <row r="203" spans="2:12">
      <c r="B203" s="21" t="s">
        <v>181</v>
      </c>
      <c r="C203">
        <v>5.4</v>
      </c>
      <c r="E203" t="s">
        <v>112</v>
      </c>
      <c r="F203" t="s">
        <v>165</v>
      </c>
      <c r="H203" t="s">
        <v>181</v>
      </c>
      <c r="I203">
        <v>5.4</v>
      </c>
      <c r="K203" t="s">
        <v>112</v>
      </c>
      <c r="L203" s="22" t="s">
        <v>165</v>
      </c>
    </row>
    <row r="204" spans="2:12">
      <c r="B204" s="21" t="s">
        <v>182</v>
      </c>
      <c r="C204">
        <v>3.5</v>
      </c>
      <c r="E204">
        <v>2</v>
      </c>
      <c r="F204">
        <f>IF(E204=1,C203,IF(E204=2,C204,IF(E204=3,C205,0)))</f>
        <v>3.5</v>
      </c>
      <c r="H204" t="s">
        <v>182</v>
      </c>
      <c r="I204">
        <v>3.5</v>
      </c>
      <c r="K204">
        <v>3</v>
      </c>
      <c r="L204" s="22">
        <f>IF(K204=1,I203,IF(K204=2,I204,IF(K204=3,I205,0)))</f>
        <v>0.8</v>
      </c>
    </row>
    <row r="205" spans="2:12">
      <c r="B205" s="21" t="s">
        <v>183</v>
      </c>
      <c r="C205">
        <v>0.8</v>
      </c>
      <c r="F205">
        <f>F204</f>
        <v>3.5</v>
      </c>
      <c r="H205" t="s">
        <v>183</v>
      </c>
      <c r="I205">
        <v>0.8</v>
      </c>
      <c r="L205" s="22">
        <f>L204</f>
        <v>0.8</v>
      </c>
    </row>
    <row r="206" spans="2:12">
      <c r="B206" s="21"/>
      <c r="L206" s="22"/>
    </row>
    <row r="207" spans="2:12">
      <c r="B207" s="21" t="s">
        <v>167</v>
      </c>
      <c r="C207">
        <f>ROUND((F205-L205)*C200*$C$141/1000,2)</f>
        <v>14.43</v>
      </c>
      <c r="D207" t="s">
        <v>107</v>
      </c>
      <c r="L207" s="22"/>
    </row>
    <row r="208" spans="2:12">
      <c r="B208" s="21" t="s">
        <v>168</v>
      </c>
      <c r="C208">
        <f>C207*$C$138/1000</f>
        <v>76.190399999999997</v>
      </c>
      <c r="D208" t="s">
        <v>3</v>
      </c>
      <c r="L208" s="22"/>
    </row>
    <row r="209" spans="2:12">
      <c r="B209" s="21"/>
      <c r="C209">
        <f>C208*3.6</f>
        <v>274.28543999999999</v>
      </c>
      <c r="D209" t="s">
        <v>169</v>
      </c>
      <c r="L209" s="22"/>
    </row>
    <row r="210" spans="2:12">
      <c r="B210" s="21"/>
      <c r="C210">
        <f>IF($E$77=1,ROUND(C209*1000/(35.17*0.9),0),0)</f>
        <v>0</v>
      </c>
      <c r="D210" t="s">
        <v>5</v>
      </c>
      <c r="L210" s="22"/>
    </row>
    <row r="211" spans="2:12">
      <c r="B211" s="21"/>
      <c r="C211">
        <f>ROUND(IF($E$77=1,0,C208/$F$77),2)</f>
        <v>19.05</v>
      </c>
      <c r="D211" t="s">
        <v>170</v>
      </c>
      <c r="L211" s="22"/>
    </row>
    <row r="212" spans="2:12">
      <c r="B212" s="21" t="s">
        <v>85</v>
      </c>
      <c r="C212">
        <f>ROUND(C210*$C$11/1000+C211*$C$10,2)</f>
        <v>5.18</v>
      </c>
      <c r="D212" t="s">
        <v>37</v>
      </c>
      <c r="L212" s="22"/>
    </row>
    <row r="213" spans="2:12">
      <c r="B213" s="21" t="s">
        <v>82</v>
      </c>
      <c r="C213" s="30">
        <f>ROUND(C210*$C$13+C211*$C$12,-2)</f>
        <v>10100</v>
      </c>
      <c r="D213" t="s">
        <v>83</v>
      </c>
      <c r="L213" s="22"/>
    </row>
    <row r="214" spans="2:12">
      <c r="B214" s="21" t="s">
        <v>80</v>
      </c>
      <c r="C214" s="30">
        <f>ROUND(IF(C213=0,0,IF(K204=2,C200*139,IF(K204=3,C200*178,0))),-2)</f>
        <v>66100</v>
      </c>
      <c r="D214" t="s">
        <v>81</v>
      </c>
      <c r="L214" s="22"/>
    </row>
    <row r="215" spans="2:12" ht="14.45" thickBot="1">
      <c r="B215" s="24" t="s">
        <v>43</v>
      </c>
      <c r="C215" s="26">
        <f>ROUND(IF(C213=0,0,C214/C213),2)</f>
        <v>6.54</v>
      </c>
      <c r="D215" s="26" t="s">
        <v>84</v>
      </c>
      <c r="E215" s="26"/>
      <c r="F215" s="26"/>
      <c r="G215" s="26"/>
      <c r="H215" s="26"/>
      <c r="I215" s="26"/>
      <c r="J215" s="26"/>
      <c r="K215" s="26"/>
      <c r="L215" s="27"/>
    </row>
    <row r="217" spans="2:12">
      <c r="B217" t="s">
        <v>184</v>
      </c>
      <c r="C217">
        <f>C154+C172+C190+C208</f>
        <v>76.190399999999997</v>
      </c>
      <c r="D217" t="s">
        <v>185</v>
      </c>
      <c r="F217" t="s">
        <v>186</v>
      </c>
      <c r="H217">
        <f>C182*C138*70/1000000</f>
        <v>182.952</v>
      </c>
      <c r="I217" t="s">
        <v>185</v>
      </c>
    </row>
    <row r="219" spans="2:12">
      <c r="B219" t="s">
        <v>187</v>
      </c>
    </row>
    <row r="221" spans="2:12">
      <c r="C221" t="s">
        <v>188</v>
      </c>
      <c r="D221" t="s">
        <v>189</v>
      </c>
      <c r="E221" t="s">
        <v>190</v>
      </c>
    </row>
    <row r="222" spans="2:12">
      <c r="B222" t="s">
        <v>108</v>
      </c>
      <c r="C222" s="31">
        <f>C14</f>
        <v>113.4072</v>
      </c>
      <c r="D222" s="31">
        <f>C222-C25-C36-C47-C71-C102-C121-C133-C158-C176-C194-C212</f>
        <v>47.027200000000015</v>
      </c>
      <c r="E222" s="49">
        <f>C222-D222</f>
        <v>66.38</v>
      </c>
      <c r="F222" s="50">
        <f>E222/C222</f>
        <v>0.58532438857497582</v>
      </c>
    </row>
    <row r="223" spans="2:12">
      <c r="C223" s="31"/>
      <c r="D223" s="31"/>
      <c r="E223" s="49"/>
      <c r="F223" s="50"/>
    </row>
    <row r="224" spans="2:12">
      <c r="C224" s="31"/>
      <c r="D224" s="31" t="s">
        <v>37</v>
      </c>
      <c r="E224" s="49" t="s">
        <v>191</v>
      </c>
      <c r="F224" s="50"/>
    </row>
    <row r="225" spans="2:6">
      <c r="B225" t="s">
        <v>192</v>
      </c>
      <c r="D225" s="31">
        <f>C36</f>
        <v>38</v>
      </c>
      <c r="E225" s="50">
        <f>IF(D225=0,0,D225/$C$222)</f>
        <v>0.33507572711432781</v>
      </c>
      <c r="F225" s="50"/>
    </row>
    <row r="226" spans="2:6">
      <c r="B226" t="s">
        <v>193</v>
      </c>
      <c r="D226" s="31">
        <f>C25</f>
        <v>0</v>
      </c>
      <c r="E226" s="50">
        <f t="shared" ref="E226:E235" si="0">IF(D226=0,0,D226/$C$222)</f>
        <v>0</v>
      </c>
      <c r="F226" s="50"/>
    </row>
    <row r="227" spans="2:6">
      <c r="B227" t="s">
        <v>194</v>
      </c>
      <c r="D227" s="31">
        <f>C71</f>
        <v>8</v>
      </c>
      <c r="E227" s="50">
        <f t="shared" si="0"/>
        <v>7.0542258339858485E-2</v>
      </c>
      <c r="F227" s="50"/>
    </row>
    <row r="228" spans="2:6">
      <c r="B228" t="s">
        <v>195</v>
      </c>
      <c r="D228" s="31">
        <f>C102</f>
        <v>4.3000000000000007</v>
      </c>
      <c r="E228" s="50">
        <f t="shared" si="0"/>
        <v>3.7916463857673943E-2</v>
      </c>
      <c r="F228" s="50"/>
    </row>
    <row r="229" spans="2:6">
      <c r="B229" t="s">
        <v>196</v>
      </c>
      <c r="D229" s="31">
        <f>C47</f>
        <v>3.6</v>
      </c>
      <c r="E229" s="50">
        <f t="shared" si="0"/>
        <v>3.1744016252936325E-2</v>
      </c>
      <c r="F229" s="50"/>
    </row>
    <row r="230" spans="2:6">
      <c r="B230" t="s">
        <v>197</v>
      </c>
      <c r="D230" s="31">
        <f>C121</f>
        <v>6.5</v>
      </c>
      <c r="E230" s="50">
        <f t="shared" si="0"/>
        <v>5.7315584901135024E-2</v>
      </c>
      <c r="F230" s="50"/>
    </row>
    <row r="231" spans="2:6">
      <c r="B231" t="s">
        <v>198</v>
      </c>
      <c r="D231" s="31">
        <f>C133</f>
        <v>0.8</v>
      </c>
      <c r="E231" s="50">
        <f t="shared" si="0"/>
        <v>7.054225833985849E-3</v>
      </c>
      <c r="F231" s="50"/>
    </row>
    <row r="232" spans="2:6">
      <c r="B232" t="s">
        <v>199</v>
      </c>
      <c r="D232" s="31">
        <f>C158</f>
        <v>0</v>
      </c>
      <c r="E232" s="50">
        <f t="shared" si="0"/>
        <v>0</v>
      </c>
      <c r="F232" s="50"/>
    </row>
    <row r="233" spans="2:6">
      <c r="B233" t="s">
        <v>200</v>
      </c>
      <c r="D233" s="31">
        <f>C176</f>
        <v>0</v>
      </c>
      <c r="E233" s="50">
        <f t="shared" si="0"/>
        <v>0</v>
      </c>
      <c r="F233" s="50"/>
    </row>
    <row r="234" spans="2:6">
      <c r="B234" t="s">
        <v>201</v>
      </c>
      <c r="D234" s="31">
        <f>C194</f>
        <v>0</v>
      </c>
      <c r="E234" s="50">
        <f t="shared" si="0"/>
        <v>0</v>
      </c>
      <c r="F234" s="50"/>
    </row>
    <row r="235" spans="2:6">
      <c r="B235" t="s">
        <v>202</v>
      </c>
      <c r="D235" s="31">
        <f>C212</f>
        <v>5.18</v>
      </c>
      <c r="E235" s="50">
        <f t="shared" si="0"/>
        <v>4.567611227505837E-2</v>
      </c>
      <c r="F235" s="50"/>
    </row>
    <row r="236" spans="2:6">
      <c r="B236" s="39" t="s">
        <v>203</v>
      </c>
      <c r="C236" s="54"/>
      <c r="D236" s="54">
        <f>SUM(D225:D235)</f>
        <v>66.38</v>
      </c>
      <c r="E236" s="55">
        <f>SUM(E225:E235)</f>
        <v>0.58532438857497582</v>
      </c>
      <c r="F236" s="50"/>
    </row>
    <row r="239" spans="2:6">
      <c r="B239" t="s">
        <v>204</v>
      </c>
      <c r="C239">
        <f>ROUND(E222*1000/25,-2)</f>
        <v>2700</v>
      </c>
      <c r="D239" t="s">
        <v>205</v>
      </c>
    </row>
    <row r="241" spans="2:5">
      <c r="C241" t="s">
        <v>80</v>
      </c>
      <c r="D241" t="s">
        <v>82</v>
      </c>
      <c r="E241" t="s">
        <v>206</v>
      </c>
    </row>
    <row r="242" spans="2:5">
      <c r="B242" t="s">
        <v>192</v>
      </c>
      <c r="C242" s="30">
        <f>C34</f>
        <v>238000</v>
      </c>
      <c r="D242" s="30">
        <f>C35</f>
        <v>74000</v>
      </c>
      <c r="E242" s="31">
        <f>IF(D242&gt;0,ROUND(C242/D242,1),0)</f>
        <v>3.2</v>
      </c>
    </row>
    <row r="243" spans="2:5">
      <c r="B243" t="s">
        <v>193</v>
      </c>
      <c r="C243" s="30">
        <f>C22</f>
        <v>0</v>
      </c>
      <c r="D243" s="30">
        <f>C23</f>
        <v>0</v>
      </c>
      <c r="E243" s="31">
        <f>IF(D243&gt;0,ROUND(C243/D243,1),0)</f>
        <v>0</v>
      </c>
    </row>
    <row r="244" spans="2:5">
      <c r="B244" t="s">
        <v>194</v>
      </c>
      <c r="C244" s="30">
        <f>C74</f>
        <v>11400</v>
      </c>
      <c r="D244" s="30">
        <f>C73</f>
        <v>12300</v>
      </c>
      <c r="E244" s="31">
        <f t="shared" ref="E244:E253" si="1">IF(D244&gt;0,ROUND(C244/D244,1),0)</f>
        <v>0.9</v>
      </c>
    </row>
    <row r="245" spans="2:5">
      <c r="B245" t="s">
        <v>195</v>
      </c>
      <c r="C245" s="30">
        <f>C104</f>
        <v>32200</v>
      </c>
      <c r="D245" s="30">
        <f>C103</f>
        <v>6100</v>
      </c>
      <c r="E245" s="31">
        <f t="shared" si="1"/>
        <v>5.3</v>
      </c>
    </row>
    <row r="246" spans="2:5">
      <c r="B246" t="s">
        <v>196</v>
      </c>
      <c r="C246" s="30">
        <f>C46</f>
        <v>57000</v>
      </c>
      <c r="D246" s="30">
        <f>C45</f>
        <v>6000</v>
      </c>
      <c r="E246" s="31">
        <f t="shared" si="1"/>
        <v>9.5</v>
      </c>
    </row>
    <row r="247" spans="2:5">
      <c r="B247" t="s">
        <v>197</v>
      </c>
      <c r="C247" s="30">
        <f>C120</f>
        <v>5000</v>
      </c>
      <c r="D247" s="30">
        <f>C119</f>
        <v>12700</v>
      </c>
      <c r="E247" s="31">
        <f t="shared" si="1"/>
        <v>0.4</v>
      </c>
    </row>
    <row r="248" spans="2:5">
      <c r="B248" t="s">
        <v>198</v>
      </c>
      <c r="C248" s="30">
        <f>C134</f>
        <v>1170</v>
      </c>
      <c r="D248" s="30">
        <f>C135</f>
        <v>2700</v>
      </c>
      <c r="E248" s="31">
        <f t="shared" si="1"/>
        <v>0.4</v>
      </c>
    </row>
    <row r="249" spans="2:5">
      <c r="B249" t="s">
        <v>199</v>
      </c>
      <c r="C249" s="30">
        <f>C160</f>
        <v>0</v>
      </c>
      <c r="D249" s="30">
        <f>C159</f>
        <v>0</v>
      </c>
      <c r="E249" s="31">
        <f t="shared" si="1"/>
        <v>0</v>
      </c>
    </row>
    <row r="250" spans="2:5">
      <c r="B250" t="s">
        <v>200</v>
      </c>
      <c r="C250" s="30">
        <f>C178</f>
        <v>0</v>
      </c>
      <c r="D250" s="30">
        <f>C177</f>
        <v>0</v>
      </c>
      <c r="E250" s="31">
        <f t="shared" si="1"/>
        <v>0</v>
      </c>
    </row>
    <row r="251" spans="2:5">
      <c r="B251" t="s">
        <v>201</v>
      </c>
      <c r="C251" s="30">
        <f>C196</f>
        <v>0</v>
      </c>
      <c r="D251" s="30">
        <f>C195</f>
        <v>0</v>
      </c>
      <c r="E251" s="31">
        <f t="shared" si="1"/>
        <v>0</v>
      </c>
    </row>
    <row r="252" spans="2:5">
      <c r="B252" t="s">
        <v>202</v>
      </c>
      <c r="C252" s="30">
        <f>C214</f>
        <v>66100</v>
      </c>
      <c r="D252" s="30">
        <f>C213</f>
        <v>10100</v>
      </c>
      <c r="E252" s="31">
        <f t="shared" si="1"/>
        <v>6.5</v>
      </c>
    </row>
    <row r="253" spans="2:5">
      <c r="B253" s="39" t="s">
        <v>203</v>
      </c>
      <c r="C253" s="53">
        <f>ROUND(SUM(C242:C252),-3)</f>
        <v>411000</v>
      </c>
      <c r="D253" s="53">
        <f>ROUND(SUM(D242:D252),-3)</f>
        <v>124000</v>
      </c>
      <c r="E253" s="54">
        <f t="shared" si="1"/>
        <v>3.3</v>
      </c>
    </row>
  </sheetData>
  <hyperlinks>
    <hyperlink ref="I93" r:id="rId1" xr:uid="{3DCFC912-6D06-4101-81C4-CC7E10CB3E1B}"/>
    <hyperlink ref="I120" r:id="rId2" xr:uid="{1AD3B52D-1E41-417C-92E7-C9494A9D2D29}"/>
  </hyperlink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56D59-B163-4900-8172-033833B384EC}">
  <dimension ref="A1:Q115"/>
  <sheetViews>
    <sheetView workbookViewId="0">
      <selection activeCell="B17" sqref="B17"/>
    </sheetView>
  </sheetViews>
  <sheetFormatPr defaultColWidth="9" defaultRowHeight="13.9"/>
  <cols>
    <col min="1" max="1" width="71" style="78" customWidth="1"/>
    <col min="2" max="7" width="15.85546875" customWidth="1"/>
    <col min="8" max="10" width="2.85546875" customWidth="1"/>
    <col min="11" max="11" width="71" customWidth="1"/>
    <col min="12" max="17" width="15.85546875" customWidth="1"/>
  </cols>
  <sheetData>
    <row r="1" spans="1:16" ht="15.6">
      <c r="A1" s="76" t="s">
        <v>44</v>
      </c>
      <c r="B1" s="101">
        <v>2022</v>
      </c>
      <c r="I1" s="69"/>
      <c r="K1" s="76" t="s">
        <v>44</v>
      </c>
      <c r="L1" s="101">
        <v>2023</v>
      </c>
    </row>
    <row r="2" spans="1:16" ht="16.149999999999999" thickBot="1">
      <c r="A2" s="77" t="s">
        <v>207</v>
      </c>
      <c r="B2" s="102">
        <v>263</v>
      </c>
      <c r="I2" s="69"/>
      <c r="K2" s="77" t="s">
        <v>207</v>
      </c>
      <c r="L2" s="102">
        <v>451</v>
      </c>
    </row>
    <row r="3" spans="1:16">
      <c r="I3" s="69"/>
      <c r="K3" s="78"/>
    </row>
    <row r="4" spans="1:16" ht="31.15">
      <c r="A4" s="86" t="s">
        <v>208</v>
      </c>
      <c r="B4" s="86" t="s">
        <v>209</v>
      </c>
      <c r="C4" s="86" t="s">
        <v>210</v>
      </c>
      <c r="D4" s="86" t="s">
        <v>211</v>
      </c>
      <c r="E4" s="86" t="s">
        <v>212</v>
      </c>
      <c r="F4" s="86" t="s">
        <v>213</v>
      </c>
      <c r="I4" s="69"/>
      <c r="K4" s="86" t="s">
        <v>208</v>
      </c>
      <c r="L4" s="75" t="s">
        <v>209</v>
      </c>
      <c r="M4" s="75" t="s">
        <v>210</v>
      </c>
      <c r="N4" s="75" t="s">
        <v>211</v>
      </c>
      <c r="O4" s="75" t="s">
        <v>212</v>
      </c>
      <c r="P4" s="75" t="s">
        <v>213</v>
      </c>
    </row>
    <row r="5" spans="1:16" ht="14.45">
      <c r="A5" s="83" t="s">
        <v>214</v>
      </c>
      <c r="B5" s="104">
        <v>1</v>
      </c>
      <c r="C5" s="104">
        <v>1</v>
      </c>
      <c r="D5" s="104">
        <v>0</v>
      </c>
      <c r="E5" s="104">
        <v>1</v>
      </c>
      <c r="F5" s="104">
        <v>0</v>
      </c>
      <c r="I5" s="69"/>
      <c r="K5" s="83" t="s">
        <v>214</v>
      </c>
      <c r="L5" s="104">
        <v>1</v>
      </c>
      <c r="M5" s="104">
        <v>1</v>
      </c>
      <c r="N5" s="104">
        <v>0</v>
      </c>
      <c r="O5" s="104">
        <v>1</v>
      </c>
      <c r="P5" s="104">
        <v>1</v>
      </c>
    </row>
    <row r="6" spans="1:16" ht="14.45" thickBot="1">
      <c r="I6" s="69"/>
      <c r="K6" s="78"/>
    </row>
    <row r="7" spans="1:16" ht="16.149999999999999" thickBot="1">
      <c r="A7" s="79" t="s">
        <v>215</v>
      </c>
      <c r="I7" s="69"/>
      <c r="K7" s="79" t="s">
        <v>215</v>
      </c>
    </row>
    <row r="8" spans="1:16">
      <c r="A8" s="80" t="s">
        <v>216</v>
      </c>
      <c r="I8" s="69"/>
      <c r="K8" s="80" t="s">
        <v>216</v>
      </c>
    </row>
    <row r="9" spans="1:16">
      <c r="A9" s="80" t="s">
        <v>217</v>
      </c>
      <c r="I9" s="69"/>
      <c r="K9" s="80" t="s">
        <v>217</v>
      </c>
    </row>
    <row r="10" spans="1:16">
      <c r="A10" s="80" t="s">
        <v>218</v>
      </c>
      <c r="I10" s="69"/>
      <c r="K10" s="80" t="s">
        <v>218</v>
      </c>
    </row>
    <row r="11" spans="1:16">
      <c r="A11" s="80" t="s">
        <v>219</v>
      </c>
      <c r="I11" s="69"/>
      <c r="K11" s="80" t="s">
        <v>219</v>
      </c>
    </row>
    <row r="12" spans="1:16" ht="14.45" thickBot="1">
      <c r="A12" s="81" t="s">
        <v>220</v>
      </c>
      <c r="I12" s="69"/>
      <c r="K12" s="81" t="s">
        <v>220</v>
      </c>
    </row>
    <row r="13" spans="1:16">
      <c r="I13" s="69"/>
      <c r="K13" s="78"/>
    </row>
    <row r="14" spans="1:16" ht="15.6">
      <c r="A14" s="82" t="s">
        <v>221</v>
      </c>
      <c r="B14" s="72" t="s">
        <v>222</v>
      </c>
      <c r="C14" s="72" t="s">
        <v>223</v>
      </c>
      <c r="D14" s="72" t="s">
        <v>224</v>
      </c>
      <c r="E14" s="72" t="s">
        <v>225</v>
      </c>
      <c r="F14" s="72" t="s">
        <v>226</v>
      </c>
      <c r="I14" s="69"/>
      <c r="K14" s="82" t="s">
        <v>221</v>
      </c>
      <c r="L14" s="72" t="s">
        <v>222</v>
      </c>
      <c r="M14" s="72" t="s">
        <v>223</v>
      </c>
      <c r="N14" s="72" t="s">
        <v>224</v>
      </c>
      <c r="O14" s="72" t="s">
        <v>225</v>
      </c>
      <c r="P14" s="72" t="s">
        <v>226</v>
      </c>
    </row>
    <row r="15" spans="1:16" ht="28.9">
      <c r="A15" s="83" t="s">
        <v>227</v>
      </c>
      <c r="B15" s="103">
        <v>18</v>
      </c>
      <c r="C15" s="103">
        <v>6</v>
      </c>
      <c r="D15" s="103">
        <v>21</v>
      </c>
      <c r="E15" s="103">
        <v>8</v>
      </c>
      <c r="F15" s="103">
        <v>5</v>
      </c>
      <c r="I15" s="69"/>
      <c r="K15" s="83" t="s">
        <v>227</v>
      </c>
      <c r="L15" s="103">
        <v>24</v>
      </c>
      <c r="M15" s="103">
        <v>6</v>
      </c>
      <c r="N15" s="103">
        <v>12</v>
      </c>
      <c r="O15" s="103">
        <v>18</v>
      </c>
      <c r="P15" s="103">
        <v>19</v>
      </c>
    </row>
    <row r="16" spans="1:16" ht="14.45">
      <c r="A16" s="83" t="s">
        <v>228</v>
      </c>
      <c r="B16" s="103">
        <v>7</v>
      </c>
      <c r="C16" s="103">
        <v>20</v>
      </c>
      <c r="D16" s="103">
        <v>60</v>
      </c>
      <c r="E16" s="103">
        <v>15</v>
      </c>
      <c r="F16" s="103">
        <v>4</v>
      </c>
      <c r="I16" s="69"/>
      <c r="K16" s="83" t="s">
        <v>228</v>
      </c>
      <c r="L16" s="103">
        <v>5</v>
      </c>
      <c r="M16" s="103">
        <v>20</v>
      </c>
      <c r="N16" s="103">
        <v>45</v>
      </c>
      <c r="O16" s="103">
        <v>49</v>
      </c>
      <c r="P16" s="103">
        <v>4</v>
      </c>
    </row>
    <row r="17" spans="1:16" ht="28.9">
      <c r="A17" s="83" t="s">
        <v>229</v>
      </c>
      <c r="B17" s="103">
        <v>9</v>
      </c>
      <c r="C17" s="103">
        <v>20</v>
      </c>
      <c r="D17" s="103">
        <v>40</v>
      </c>
      <c r="E17" s="103">
        <v>75</v>
      </c>
      <c r="F17" s="103">
        <v>4</v>
      </c>
      <c r="I17" s="69"/>
      <c r="K17" s="83" t="s">
        <v>229</v>
      </c>
      <c r="L17" s="103">
        <v>9</v>
      </c>
      <c r="M17" s="103">
        <v>20</v>
      </c>
      <c r="N17" s="103">
        <v>35</v>
      </c>
      <c r="O17" s="103">
        <v>52</v>
      </c>
      <c r="P17" s="103">
        <v>16</v>
      </c>
    </row>
    <row r="18" spans="1:16" ht="28.9">
      <c r="A18" s="83" t="s">
        <v>230</v>
      </c>
      <c r="B18" s="103">
        <v>12</v>
      </c>
      <c r="C18" s="103">
        <v>14</v>
      </c>
      <c r="D18" s="103">
        <v>67</v>
      </c>
      <c r="E18" s="103">
        <v>15</v>
      </c>
      <c r="F18" s="103">
        <v>4</v>
      </c>
      <c r="I18" s="69"/>
      <c r="K18" s="83" t="s">
        <v>230</v>
      </c>
      <c r="L18" s="103">
        <v>12</v>
      </c>
      <c r="M18" s="103">
        <v>14</v>
      </c>
      <c r="N18" s="103">
        <v>50</v>
      </c>
      <c r="O18" s="103">
        <v>15</v>
      </c>
      <c r="P18" s="103">
        <v>4</v>
      </c>
    </row>
    <row r="19" spans="1:16" ht="28.9">
      <c r="A19" s="83" t="s">
        <v>231</v>
      </c>
      <c r="B19" s="103">
        <v>3</v>
      </c>
      <c r="C19" s="103">
        <v>20</v>
      </c>
      <c r="D19" s="103">
        <v>67</v>
      </c>
      <c r="E19" s="103">
        <v>15</v>
      </c>
      <c r="F19" s="103">
        <v>15</v>
      </c>
      <c r="I19" s="69"/>
      <c r="K19" s="83" t="s">
        <v>231</v>
      </c>
      <c r="L19" s="103">
        <v>3</v>
      </c>
      <c r="M19" s="103">
        <v>20</v>
      </c>
      <c r="N19" s="103">
        <v>47</v>
      </c>
      <c r="O19" s="103">
        <v>25</v>
      </c>
      <c r="P19" s="103">
        <v>15</v>
      </c>
    </row>
    <row r="20" spans="1:16">
      <c r="I20" s="69"/>
      <c r="K20" s="78"/>
    </row>
    <row r="21" spans="1:16">
      <c r="A21" s="84"/>
      <c r="B21" s="69"/>
      <c r="C21" s="69"/>
      <c r="D21" s="69"/>
      <c r="E21" s="69"/>
      <c r="F21" s="69"/>
      <c r="I21" s="69"/>
      <c r="K21" s="84"/>
      <c r="L21" s="69"/>
      <c r="M21" s="69"/>
      <c r="N21" s="69"/>
      <c r="O21" s="69"/>
      <c r="P21" s="69"/>
    </row>
    <row r="22" spans="1:16" ht="14.45" thickBot="1">
      <c r="I22" s="69"/>
      <c r="K22" s="78"/>
    </row>
    <row r="23" spans="1:16" ht="16.149999999999999" thickBot="1">
      <c r="A23" s="79" t="s">
        <v>232</v>
      </c>
      <c r="I23" s="69"/>
      <c r="K23" s="79" t="s">
        <v>232</v>
      </c>
    </row>
    <row r="24" spans="1:16">
      <c r="A24" s="80" t="s">
        <v>233</v>
      </c>
      <c r="I24" s="69"/>
      <c r="K24" s="80" t="s">
        <v>233</v>
      </c>
    </row>
    <row r="25" spans="1:16">
      <c r="A25" s="80" t="s">
        <v>234</v>
      </c>
      <c r="I25" s="69"/>
      <c r="K25" s="80" t="s">
        <v>234</v>
      </c>
    </row>
    <row r="26" spans="1:16" ht="14.45" thickBot="1">
      <c r="A26" s="81" t="s">
        <v>235</v>
      </c>
      <c r="I26" s="69"/>
      <c r="K26" s="81" t="s">
        <v>235</v>
      </c>
    </row>
    <row r="27" spans="1:16">
      <c r="I27" s="69"/>
      <c r="K27" s="78"/>
    </row>
    <row r="28" spans="1:16" ht="15.6">
      <c r="A28" s="82" t="s">
        <v>236</v>
      </c>
      <c r="B28" s="72">
        <v>1</v>
      </c>
      <c r="C28" s="72">
        <v>2</v>
      </c>
      <c r="D28" s="72">
        <v>3</v>
      </c>
      <c r="I28" s="69"/>
      <c r="K28" s="82" t="s">
        <v>236</v>
      </c>
      <c r="L28" s="72">
        <v>1</v>
      </c>
      <c r="M28" s="72">
        <v>2</v>
      </c>
      <c r="N28" s="72">
        <v>3</v>
      </c>
    </row>
    <row r="29" spans="1:16" ht="14.45">
      <c r="A29" s="83" t="s">
        <v>237</v>
      </c>
      <c r="B29" s="105">
        <v>89</v>
      </c>
      <c r="C29" s="105">
        <v>140</v>
      </c>
      <c r="D29" s="105">
        <v>360</v>
      </c>
      <c r="I29" s="69"/>
      <c r="K29" s="83" t="s">
        <v>237</v>
      </c>
      <c r="L29" s="105">
        <v>84</v>
      </c>
      <c r="M29" s="105">
        <v>190</v>
      </c>
      <c r="N29" s="105">
        <v>75</v>
      </c>
    </row>
    <row r="30" spans="1:16">
      <c r="I30" s="69"/>
      <c r="K30" s="78"/>
    </row>
    <row r="31" spans="1:16">
      <c r="A31" s="84"/>
      <c r="B31" s="69"/>
      <c r="C31" s="69"/>
      <c r="D31" s="69"/>
      <c r="E31" s="69"/>
      <c r="F31" s="69"/>
      <c r="I31" s="69"/>
      <c r="K31" s="84"/>
      <c r="L31" s="69"/>
      <c r="M31" s="69"/>
      <c r="N31" s="69"/>
      <c r="O31" s="69"/>
      <c r="P31" s="69"/>
    </row>
    <row r="32" spans="1:16" ht="14.45" thickBot="1">
      <c r="I32" s="69"/>
      <c r="K32" s="78"/>
    </row>
    <row r="33" spans="1:16" ht="16.149999999999999" thickBot="1">
      <c r="A33" s="79" t="s">
        <v>238</v>
      </c>
      <c r="I33" s="69"/>
      <c r="K33" s="79" t="s">
        <v>238</v>
      </c>
    </row>
    <row r="34" spans="1:16">
      <c r="A34" s="80" t="s">
        <v>239</v>
      </c>
      <c r="I34" s="69"/>
      <c r="K34" s="80" t="s">
        <v>239</v>
      </c>
    </row>
    <row r="35" spans="1:16">
      <c r="A35" s="80" t="s">
        <v>240</v>
      </c>
      <c r="I35" s="69"/>
      <c r="K35" s="80" t="s">
        <v>240</v>
      </c>
    </row>
    <row r="36" spans="1:16">
      <c r="A36" s="80" t="s">
        <v>241</v>
      </c>
      <c r="I36" s="69"/>
      <c r="K36" s="80" t="s">
        <v>241</v>
      </c>
    </row>
    <row r="37" spans="1:16">
      <c r="A37" s="80" t="s">
        <v>242</v>
      </c>
      <c r="I37" s="69"/>
      <c r="K37" s="80" t="s">
        <v>242</v>
      </c>
    </row>
    <row r="38" spans="1:16" ht="14.45" thickBot="1">
      <c r="A38" s="81" t="s">
        <v>243</v>
      </c>
      <c r="I38" s="69"/>
      <c r="K38" s="81" t="s">
        <v>243</v>
      </c>
    </row>
    <row r="39" spans="1:16">
      <c r="I39" s="69"/>
      <c r="K39" s="78"/>
    </row>
    <row r="40" spans="1:16" ht="15.6">
      <c r="A40" s="82" t="s">
        <v>244</v>
      </c>
      <c r="B40" s="72" t="s">
        <v>245</v>
      </c>
      <c r="C40" s="72" t="s">
        <v>246</v>
      </c>
      <c r="D40" s="72" t="s">
        <v>247</v>
      </c>
      <c r="E40" s="72" t="s">
        <v>248</v>
      </c>
      <c r="F40" s="72" t="s">
        <v>249</v>
      </c>
      <c r="I40" s="69"/>
      <c r="K40" s="82" t="s">
        <v>244</v>
      </c>
      <c r="L40" s="72" t="s">
        <v>245</v>
      </c>
      <c r="M40" s="72" t="s">
        <v>246</v>
      </c>
      <c r="N40" s="72" t="s">
        <v>247</v>
      </c>
      <c r="O40" s="72" t="s">
        <v>248</v>
      </c>
      <c r="P40" s="72" t="s">
        <v>249</v>
      </c>
    </row>
    <row r="41" spans="1:16" ht="14.45">
      <c r="A41" s="83" t="s">
        <v>250</v>
      </c>
      <c r="B41" s="103">
        <v>42</v>
      </c>
      <c r="C41" s="103">
        <v>75</v>
      </c>
      <c r="D41" s="103">
        <v>40</v>
      </c>
      <c r="E41" s="103">
        <v>102</v>
      </c>
      <c r="F41" s="103">
        <v>68</v>
      </c>
      <c r="I41" s="69"/>
      <c r="K41" s="83" t="s">
        <v>250</v>
      </c>
      <c r="L41" s="103">
        <v>15</v>
      </c>
      <c r="M41" s="103">
        <v>18</v>
      </c>
      <c r="N41" s="103">
        <v>25</v>
      </c>
      <c r="O41" s="103">
        <v>74</v>
      </c>
      <c r="P41" s="103">
        <v>63</v>
      </c>
    </row>
    <row r="42" spans="1:16">
      <c r="I42" s="69"/>
      <c r="K42" s="78"/>
    </row>
    <row r="43" spans="1:16">
      <c r="A43" s="84"/>
      <c r="B43" s="69"/>
      <c r="C43" s="69"/>
      <c r="D43" s="69"/>
      <c r="E43" s="69"/>
      <c r="F43" s="69"/>
      <c r="I43" s="69"/>
      <c r="K43" s="84"/>
      <c r="L43" s="69"/>
      <c r="M43" s="69"/>
      <c r="N43" s="69"/>
      <c r="O43" s="69"/>
      <c r="P43" s="69"/>
    </row>
    <row r="44" spans="1:16" ht="14.45" thickBot="1">
      <c r="I44" s="69"/>
      <c r="K44" s="78"/>
    </row>
    <row r="45" spans="1:16" ht="16.149999999999999" thickBot="1">
      <c r="A45" s="79" t="s">
        <v>251</v>
      </c>
      <c r="I45" s="69"/>
      <c r="K45" s="79" t="s">
        <v>251</v>
      </c>
    </row>
    <row r="46" spans="1:16">
      <c r="A46" s="80" t="s">
        <v>252</v>
      </c>
      <c r="I46" s="69"/>
      <c r="K46" s="80" t="s">
        <v>252</v>
      </c>
    </row>
    <row r="47" spans="1:16" ht="14.45" thickBot="1">
      <c r="A47" s="81" t="s">
        <v>253</v>
      </c>
      <c r="I47" s="69"/>
      <c r="K47" s="81" t="s">
        <v>253</v>
      </c>
    </row>
    <row r="48" spans="1:16">
      <c r="I48" s="69"/>
      <c r="K48" s="78"/>
    </row>
    <row r="49" spans="1:16" ht="15.6">
      <c r="A49" s="85" t="s">
        <v>254</v>
      </c>
      <c r="B49" s="68">
        <v>1</v>
      </c>
      <c r="C49" s="68">
        <v>2</v>
      </c>
      <c r="I49" s="69"/>
      <c r="K49" s="85" t="s">
        <v>254</v>
      </c>
      <c r="L49" s="68">
        <v>1</v>
      </c>
      <c r="M49" s="68">
        <v>2</v>
      </c>
    </row>
    <row r="50" spans="1:16" ht="14.45">
      <c r="A50" s="83" t="s">
        <v>255</v>
      </c>
      <c r="B50" s="105">
        <v>54</v>
      </c>
      <c r="C50" s="105">
        <v>85</v>
      </c>
      <c r="I50" s="69"/>
      <c r="K50" s="83" t="s">
        <v>255</v>
      </c>
      <c r="L50" s="105">
        <v>74</v>
      </c>
      <c r="M50" s="105">
        <v>55</v>
      </c>
    </row>
    <row r="51" spans="1:16">
      <c r="I51" s="69"/>
      <c r="K51" s="78"/>
    </row>
    <row r="52" spans="1:16">
      <c r="A52" s="84"/>
      <c r="B52" s="69"/>
      <c r="C52" s="69"/>
      <c r="D52" s="69"/>
      <c r="E52" s="69"/>
      <c r="F52" s="69"/>
      <c r="I52" s="69"/>
      <c r="K52" s="84"/>
      <c r="L52" s="69"/>
      <c r="M52" s="69"/>
      <c r="N52" s="69"/>
      <c r="O52" s="69"/>
      <c r="P52" s="69"/>
    </row>
    <row r="53" spans="1:16" ht="14.45" thickBot="1">
      <c r="I53" s="69"/>
      <c r="K53" s="78"/>
    </row>
    <row r="54" spans="1:16" ht="16.149999999999999" thickBot="1">
      <c r="A54" s="79" t="s">
        <v>256</v>
      </c>
      <c r="I54" s="69"/>
      <c r="K54" s="79" t="s">
        <v>256</v>
      </c>
    </row>
    <row r="55" spans="1:16">
      <c r="A55" s="80" t="s">
        <v>257</v>
      </c>
      <c r="I55" s="69"/>
      <c r="K55" s="80" t="s">
        <v>257</v>
      </c>
    </row>
    <row r="56" spans="1:16">
      <c r="A56" s="80" t="s">
        <v>258</v>
      </c>
      <c r="I56" s="69"/>
      <c r="K56" s="80" t="s">
        <v>258</v>
      </c>
    </row>
    <row r="57" spans="1:16">
      <c r="A57" s="80" t="s">
        <v>259</v>
      </c>
      <c r="I57" s="69"/>
      <c r="K57" s="80" t="s">
        <v>259</v>
      </c>
    </row>
    <row r="58" spans="1:16">
      <c r="A58" s="80" t="s">
        <v>260</v>
      </c>
      <c r="I58" s="69"/>
      <c r="K58" s="80" t="s">
        <v>260</v>
      </c>
    </row>
    <row r="59" spans="1:16" ht="14.45" thickBot="1">
      <c r="A59" s="81" t="s">
        <v>261</v>
      </c>
      <c r="I59" s="69"/>
      <c r="K59" s="81" t="s">
        <v>261</v>
      </c>
    </row>
    <row r="60" spans="1:16">
      <c r="I60" s="69"/>
      <c r="K60" s="78"/>
    </row>
    <row r="61" spans="1:16" ht="15.6">
      <c r="A61" s="82" t="s">
        <v>244</v>
      </c>
      <c r="B61" s="96" t="s">
        <v>262</v>
      </c>
      <c r="C61" s="96" t="s">
        <v>263</v>
      </c>
      <c r="D61" s="96" t="s">
        <v>264</v>
      </c>
      <c r="E61" s="96" t="s">
        <v>265</v>
      </c>
      <c r="F61" s="96" t="s">
        <v>266</v>
      </c>
      <c r="I61" s="69"/>
      <c r="K61" s="82" t="s">
        <v>244</v>
      </c>
      <c r="L61" s="96" t="s">
        <v>262</v>
      </c>
      <c r="M61" s="96" t="s">
        <v>263</v>
      </c>
      <c r="N61" s="96" t="s">
        <v>264</v>
      </c>
      <c r="O61" s="96" t="s">
        <v>265</v>
      </c>
      <c r="P61" s="96" t="s">
        <v>266</v>
      </c>
    </row>
    <row r="62" spans="1:16" ht="14.45">
      <c r="A62" s="83" t="s">
        <v>267</v>
      </c>
      <c r="B62" s="103">
        <v>42</v>
      </c>
      <c r="C62" s="103">
        <v>75</v>
      </c>
      <c r="D62" s="103">
        <v>40</v>
      </c>
      <c r="E62" s="103">
        <v>102</v>
      </c>
      <c r="F62" s="103">
        <v>68</v>
      </c>
      <c r="I62" s="69"/>
      <c r="K62" s="83" t="s">
        <v>267</v>
      </c>
      <c r="L62" s="103">
        <v>15</v>
      </c>
      <c r="M62" s="103">
        <v>18</v>
      </c>
      <c r="N62" s="103">
        <v>25</v>
      </c>
      <c r="O62" s="103">
        <v>74</v>
      </c>
      <c r="P62" s="103">
        <v>63</v>
      </c>
    </row>
    <row r="63" spans="1:16">
      <c r="I63" s="69"/>
      <c r="K63" s="78"/>
    </row>
    <row r="64" spans="1:16" ht="41.45">
      <c r="A64" s="71" t="s">
        <v>268</v>
      </c>
      <c r="I64" s="69"/>
      <c r="K64" s="71" t="s">
        <v>268</v>
      </c>
    </row>
    <row r="65" spans="1:16">
      <c r="I65" s="69"/>
      <c r="K65" s="78"/>
    </row>
    <row r="66" spans="1:16">
      <c r="A66" s="84"/>
      <c r="B66" s="69"/>
      <c r="C66" s="69"/>
      <c r="D66" s="69"/>
      <c r="E66" s="69"/>
      <c r="F66" s="69"/>
      <c r="I66" s="69"/>
      <c r="K66" s="84"/>
      <c r="L66" s="69"/>
      <c r="M66" s="69"/>
      <c r="N66" s="69"/>
      <c r="O66" s="69"/>
      <c r="P66" s="69"/>
    </row>
    <row r="67" spans="1:16" ht="14.45" thickBot="1">
      <c r="I67" s="69"/>
      <c r="K67" s="78"/>
    </row>
    <row r="68" spans="1:16" ht="16.149999999999999" thickBot="1">
      <c r="A68" s="79" t="s">
        <v>269</v>
      </c>
      <c r="I68" s="69"/>
      <c r="K68" s="79" t="s">
        <v>269</v>
      </c>
    </row>
    <row r="69" spans="1:16">
      <c r="A69" s="80" t="s">
        <v>216</v>
      </c>
      <c r="I69" s="69"/>
      <c r="K69" s="80" t="s">
        <v>216</v>
      </c>
    </row>
    <row r="70" spans="1:16">
      <c r="A70" s="80" t="s">
        <v>217</v>
      </c>
      <c r="I70" s="69"/>
      <c r="K70" s="80" t="s">
        <v>217</v>
      </c>
    </row>
    <row r="71" spans="1:16">
      <c r="A71" s="80" t="s">
        <v>218</v>
      </c>
      <c r="I71" s="69"/>
      <c r="K71" s="80" t="s">
        <v>218</v>
      </c>
    </row>
    <row r="72" spans="1:16">
      <c r="A72" s="80" t="s">
        <v>219</v>
      </c>
      <c r="I72" s="69"/>
      <c r="K72" s="80" t="s">
        <v>219</v>
      </c>
    </row>
    <row r="73" spans="1:16" ht="14.45" thickBot="1">
      <c r="A73" s="81" t="s">
        <v>220</v>
      </c>
      <c r="I73" s="69"/>
      <c r="K73" s="81" t="s">
        <v>220</v>
      </c>
    </row>
    <row r="74" spans="1:16">
      <c r="I74" s="69"/>
      <c r="K74" s="78"/>
    </row>
    <row r="75" spans="1:16" ht="15.6">
      <c r="A75" s="82" t="s">
        <v>270</v>
      </c>
      <c r="B75" s="72" t="s">
        <v>222</v>
      </c>
      <c r="C75" s="72" t="s">
        <v>223</v>
      </c>
      <c r="D75" s="72" t="s">
        <v>224</v>
      </c>
      <c r="E75" s="72" t="s">
        <v>225</v>
      </c>
      <c r="F75" s="72" t="s">
        <v>226</v>
      </c>
      <c r="I75" s="69"/>
      <c r="K75" s="82" t="s">
        <v>270</v>
      </c>
      <c r="L75" s="72" t="s">
        <v>222</v>
      </c>
      <c r="M75" s="72" t="s">
        <v>223</v>
      </c>
      <c r="N75" s="72" t="s">
        <v>224</v>
      </c>
      <c r="O75" s="72" t="s">
        <v>225</v>
      </c>
      <c r="P75" s="72" t="s">
        <v>226</v>
      </c>
    </row>
    <row r="76" spans="1:16" ht="14.45">
      <c r="A76" s="83" t="s">
        <v>271</v>
      </c>
      <c r="B76" s="103">
        <v>12</v>
      </c>
      <c r="C76" s="103">
        <v>14</v>
      </c>
      <c r="D76" s="103">
        <v>54</v>
      </c>
      <c r="E76" s="103">
        <v>15</v>
      </c>
      <c r="F76" s="103">
        <v>8</v>
      </c>
      <c r="I76" s="69"/>
      <c r="K76" s="83" t="s">
        <v>271</v>
      </c>
      <c r="L76" s="103">
        <v>12</v>
      </c>
      <c r="M76" s="103">
        <v>14</v>
      </c>
      <c r="N76" s="103">
        <v>67</v>
      </c>
      <c r="O76" s="103">
        <v>15</v>
      </c>
      <c r="P76" s="103">
        <v>4</v>
      </c>
    </row>
    <row r="77" spans="1:16" ht="14.45">
      <c r="A77" s="83" t="s">
        <v>272</v>
      </c>
      <c r="B77" s="103">
        <v>15</v>
      </c>
      <c r="C77" s="103">
        <v>24</v>
      </c>
      <c r="D77" s="103">
        <v>35</v>
      </c>
      <c r="E77" s="103">
        <v>4</v>
      </c>
      <c r="F77" s="103">
        <v>21</v>
      </c>
      <c r="I77" s="69"/>
      <c r="K77" s="83" t="s">
        <v>272</v>
      </c>
      <c r="L77" s="103">
        <v>15</v>
      </c>
      <c r="M77" s="103">
        <v>24</v>
      </c>
      <c r="N77" s="103">
        <v>35</v>
      </c>
      <c r="O77" s="103">
        <v>4</v>
      </c>
      <c r="P77" s="103">
        <v>21</v>
      </c>
    </row>
    <row r="78" spans="1:16">
      <c r="I78" s="69"/>
      <c r="K78" s="78"/>
    </row>
    <row r="79" spans="1:16">
      <c r="A79" s="84"/>
      <c r="B79" s="69"/>
      <c r="C79" s="69"/>
      <c r="D79" s="69"/>
      <c r="E79" s="69"/>
      <c r="F79" s="69"/>
      <c r="I79" s="69"/>
      <c r="K79" s="84"/>
      <c r="L79" s="69"/>
      <c r="M79" s="69"/>
      <c r="N79" s="69"/>
      <c r="O79" s="69"/>
      <c r="P79" s="69"/>
    </row>
    <row r="80" spans="1:16" ht="14.45" thickBot="1">
      <c r="I80" s="69"/>
      <c r="K80" s="78"/>
    </row>
    <row r="81" spans="1:16" ht="16.149999999999999" thickBot="1">
      <c r="A81" s="79" t="s">
        <v>273</v>
      </c>
      <c r="I81" s="69"/>
      <c r="K81" s="79" t="s">
        <v>273</v>
      </c>
    </row>
    <row r="82" spans="1:16" ht="14.45" thickBot="1">
      <c r="A82" s="81" t="s">
        <v>274</v>
      </c>
      <c r="I82" s="69"/>
      <c r="K82" s="81" t="s">
        <v>274</v>
      </c>
    </row>
    <row r="83" spans="1:16">
      <c r="I83" s="69"/>
      <c r="K83" s="78"/>
    </row>
    <row r="84" spans="1:16" ht="41.45">
      <c r="A84" s="71" t="s">
        <v>275</v>
      </c>
      <c r="I84" s="69"/>
      <c r="K84" s="71" t="s">
        <v>275</v>
      </c>
    </row>
    <row r="85" spans="1:16">
      <c r="I85" s="69"/>
      <c r="K85" s="78"/>
    </row>
    <row r="86" spans="1:16">
      <c r="A86" s="84"/>
      <c r="B86" s="69"/>
      <c r="C86" s="69"/>
      <c r="D86" s="69"/>
      <c r="E86" s="69"/>
      <c r="F86" s="69"/>
      <c r="I86" s="69"/>
      <c r="K86" s="84"/>
      <c r="L86" s="69"/>
      <c r="M86" s="69"/>
      <c r="N86" s="69"/>
      <c r="O86" s="69"/>
      <c r="P86" s="69"/>
    </row>
    <row r="87" spans="1:16" ht="14.45" thickBot="1">
      <c r="I87" s="69"/>
      <c r="K87" s="78"/>
    </row>
    <row r="88" spans="1:16" ht="16.149999999999999" thickBot="1">
      <c r="A88" s="79" t="s">
        <v>276</v>
      </c>
      <c r="I88" s="69"/>
      <c r="K88" s="79" t="s">
        <v>276</v>
      </c>
    </row>
    <row r="89" spans="1:16" ht="14.45" thickBot="1">
      <c r="A89" s="81" t="s">
        <v>277</v>
      </c>
      <c r="I89" s="69"/>
      <c r="K89" s="81" t="s">
        <v>277</v>
      </c>
    </row>
    <row r="90" spans="1:16">
      <c r="I90" s="69"/>
      <c r="K90" s="78"/>
    </row>
    <row r="91" spans="1:16" ht="15.6">
      <c r="A91" s="82" t="s">
        <v>278</v>
      </c>
      <c r="B91" s="73" t="s">
        <v>279</v>
      </c>
      <c r="C91" s="73" t="s">
        <v>280</v>
      </c>
      <c r="D91" s="73" t="s">
        <v>281</v>
      </c>
      <c r="E91" s="73" t="s">
        <v>282</v>
      </c>
      <c r="F91" s="73" t="s">
        <v>283</v>
      </c>
      <c r="I91" s="69"/>
      <c r="K91" s="82" t="s">
        <v>278</v>
      </c>
      <c r="L91" s="73" t="s">
        <v>279</v>
      </c>
      <c r="M91" s="73" t="s">
        <v>280</v>
      </c>
      <c r="N91" s="73" t="s">
        <v>281</v>
      </c>
      <c r="O91" s="73" t="s">
        <v>282</v>
      </c>
      <c r="P91" s="73" t="s">
        <v>283</v>
      </c>
    </row>
    <row r="92" spans="1:16" ht="14.45">
      <c r="A92" s="83" t="s">
        <v>284</v>
      </c>
      <c r="B92" s="106">
        <v>0</v>
      </c>
      <c r="C92" s="106">
        <v>0</v>
      </c>
      <c r="D92" s="106">
        <v>0</v>
      </c>
      <c r="E92" s="106">
        <v>0</v>
      </c>
      <c r="F92" s="106">
        <v>0</v>
      </c>
      <c r="I92" s="69"/>
      <c r="K92" s="83" t="s">
        <v>284</v>
      </c>
      <c r="L92" s="106">
        <v>0</v>
      </c>
      <c r="M92" s="106">
        <v>0</v>
      </c>
      <c r="N92" s="106">
        <v>0</v>
      </c>
      <c r="O92" s="106">
        <v>0</v>
      </c>
      <c r="P92" s="106">
        <v>0</v>
      </c>
    </row>
    <row r="93" spans="1:16">
      <c r="I93" s="69"/>
      <c r="K93" s="78"/>
    </row>
    <row r="94" spans="1:16">
      <c r="A94" s="84"/>
      <c r="B94" s="69"/>
      <c r="C94" s="69"/>
      <c r="D94" s="69"/>
      <c r="E94" s="69"/>
      <c r="F94" s="69"/>
      <c r="I94" s="69"/>
      <c r="K94" s="84"/>
      <c r="L94" s="69"/>
      <c r="M94" s="69"/>
      <c r="N94" s="69"/>
      <c r="O94" s="69"/>
      <c r="P94" s="69"/>
    </row>
    <row r="95" spans="1:16" ht="14.45" thickBot="1">
      <c r="I95" s="69"/>
      <c r="K95" s="78"/>
    </row>
    <row r="96" spans="1:16" ht="16.149999999999999" thickBot="1">
      <c r="A96" s="79" t="s">
        <v>285</v>
      </c>
      <c r="I96" s="69"/>
      <c r="K96" s="79" t="s">
        <v>285</v>
      </c>
    </row>
    <row r="97" spans="1:17" ht="14.45" thickBot="1">
      <c r="A97" s="81" t="s">
        <v>286</v>
      </c>
      <c r="I97" s="69"/>
      <c r="K97" s="81" t="s">
        <v>286</v>
      </c>
    </row>
    <row r="98" spans="1:17">
      <c r="I98" s="69"/>
      <c r="K98" s="78"/>
    </row>
    <row r="99" spans="1:17" ht="31.15">
      <c r="A99" s="86" t="s">
        <v>278</v>
      </c>
      <c r="B99" s="74" t="s">
        <v>287</v>
      </c>
      <c r="C99" s="74" t="s">
        <v>288</v>
      </c>
      <c r="D99" s="74" t="s">
        <v>289</v>
      </c>
      <c r="E99" s="75" t="s">
        <v>290</v>
      </c>
      <c r="F99" s="74" t="s">
        <v>291</v>
      </c>
      <c r="G99" s="74" t="s">
        <v>292</v>
      </c>
      <c r="I99" s="69"/>
      <c r="K99" s="86" t="s">
        <v>278</v>
      </c>
      <c r="L99" s="74" t="s">
        <v>287</v>
      </c>
      <c r="M99" s="74" t="s">
        <v>288</v>
      </c>
      <c r="N99" s="74" t="s">
        <v>289</v>
      </c>
      <c r="O99" s="75" t="s">
        <v>290</v>
      </c>
      <c r="P99" s="74" t="s">
        <v>291</v>
      </c>
      <c r="Q99" s="74" t="s">
        <v>292</v>
      </c>
    </row>
    <row r="100" spans="1:17" ht="14.45">
      <c r="A100" s="83" t="s">
        <v>293</v>
      </c>
      <c r="B100" s="106">
        <v>0</v>
      </c>
      <c r="C100" s="106">
        <v>0</v>
      </c>
      <c r="D100" s="106">
        <v>0</v>
      </c>
      <c r="E100" s="106">
        <v>0</v>
      </c>
      <c r="F100" s="106">
        <v>0</v>
      </c>
      <c r="G100" s="106">
        <v>0</v>
      </c>
      <c r="I100" s="69"/>
      <c r="K100" s="83" t="s">
        <v>293</v>
      </c>
      <c r="L100" s="106">
        <v>0</v>
      </c>
      <c r="M100" s="106">
        <v>0</v>
      </c>
      <c r="N100" s="106">
        <v>0</v>
      </c>
      <c r="O100" s="106">
        <v>0</v>
      </c>
      <c r="P100" s="106">
        <v>0</v>
      </c>
      <c r="Q100" s="106">
        <v>0</v>
      </c>
    </row>
    <row r="101" spans="1:17">
      <c r="I101" s="69"/>
      <c r="K101" s="78"/>
    </row>
    <row r="102" spans="1:17">
      <c r="A102" s="84"/>
      <c r="B102" s="69"/>
      <c r="C102" s="69"/>
      <c r="D102" s="69"/>
      <c r="E102" s="69"/>
      <c r="F102" s="69"/>
      <c r="I102" s="69"/>
      <c r="K102" s="84"/>
      <c r="L102" s="69"/>
      <c r="M102" s="69"/>
      <c r="N102" s="69"/>
      <c r="O102" s="69"/>
      <c r="P102" s="69"/>
    </row>
    <row r="103" spans="1:17" ht="14.45" thickBot="1">
      <c r="I103" s="69"/>
      <c r="K103" s="78"/>
    </row>
    <row r="104" spans="1:17" ht="16.149999999999999" thickBot="1">
      <c r="A104" s="79" t="s">
        <v>294</v>
      </c>
      <c r="I104" s="69"/>
      <c r="K104" s="79" t="s">
        <v>294</v>
      </c>
    </row>
    <row r="105" spans="1:17" ht="14.45" thickBot="1">
      <c r="A105" s="81" t="s">
        <v>286</v>
      </c>
      <c r="I105" s="69"/>
      <c r="K105" s="81" t="s">
        <v>286</v>
      </c>
    </row>
    <row r="106" spans="1:17">
      <c r="I106" s="69"/>
      <c r="K106" s="78"/>
    </row>
    <row r="107" spans="1:17" ht="15.6">
      <c r="A107" s="86" t="s">
        <v>295</v>
      </c>
      <c r="B107" s="74" t="s">
        <v>296</v>
      </c>
      <c r="C107" s="74" t="s">
        <v>297</v>
      </c>
      <c r="D107" s="74" t="s">
        <v>298</v>
      </c>
      <c r="E107" s="74" t="s">
        <v>292</v>
      </c>
      <c r="I107" s="69"/>
      <c r="K107" s="86" t="s">
        <v>295</v>
      </c>
      <c r="L107" s="74" t="s">
        <v>296</v>
      </c>
      <c r="M107" s="74" t="s">
        <v>297</v>
      </c>
      <c r="N107" s="74" t="s">
        <v>298</v>
      </c>
      <c r="O107" s="74" t="s">
        <v>292</v>
      </c>
    </row>
    <row r="108" spans="1:17" ht="14.45">
      <c r="A108" s="83" t="s">
        <v>299</v>
      </c>
      <c r="B108" s="106">
        <v>0</v>
      </c>
      <c r="C108" s="106">
        <v>0</v>
      </c>
      <c r="D108" s="106">
        <v>0</v>
      </c>
      <c r="E108" s="106">
        <v>0</v>
      </c>
      <c r="I108" s="69"/>
      <c r="K108" s="83" t="s">
        <v>299</v>
      </c>
      <c r="L108" s="106">
        <v>0</v>
      </c>
      <c r="M108" s="106">
        <v>0</v>
      </c>
      <c r="N108" s="106">
        <v>0</v>
      </c>
      <c r="O108" s="106">
        <v>0</v>
      </c>
    </row>
    <row r="109" spans="1:17">
      <c r="I109" s="69"/>
      <c r="K109" s="78"/>
    </row>
    <row r="110" spans="1:17">
      <c r="A110" s="84"/>
      <c r="B110" s="69"/>
      <c r="C110" s="69"/>
      <c r="D110" s="69"/>
      <c r="E110" s="69"/>
      <c r="F110" s="69"/>
      <c r="I110" s="69"/>
      <c r="K110" s="84"/>
      <c r="L110" s="69"/>
      <c r="M110" s="69"/>
      <c r="N110" s="69"/>
      <c r="O110" s="69"/>
      <c r="P110" s="69"/>
    </row>
    <row r="111" spans="1:17" ht="14.45" thickBot="1">
      <c r="I111" s="69"/>
      <c r="K111" s="78"/>
    </row>
    <row r="112" spans="1:17" ht="16.149999999999999" thickBot="1">
      <c r="A112" s="79" t="s">
        <v>300</v>
      </c>
      <c r="I112" s="69"/>
      <c r="K112" s="79" t="s">
        <v>300</v>
      </c>
    </row>
    <row r="113" spans="1:11" ht="14.45" thickBot="1">
      <c r="A113" s="81" t="s">
        <v>301</v>
      </c>
      <c r="I113" s="69"/>
      <c r="K113" s="81" t="s">
        <v>301</v>
      </c>
    </row>
    <row r="114" spans="1:11">
      <c r="I114" s="69"/>
      <c r="K114" s="78"/>
    </row>
    <row r="115" spans="1:11" ht="41.45">
      <c r="A115" s="71" t="s">
        <v>302</v>
      </c>
      <c r="I115" s="69"/>
      <c r="K115" s="71" t="s">
        <v>302</v>
      </c>
    </row>
  </sheetData>
  <sheetProtection sheet="1" objects="1" scenarios="1" selectLockedCell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8EA22-E4BD-48F7-8BBA-475C12576276}">
  <dimension ref="A1:G139"/>
  <sheetViews>
    <sheetView workbookViewId="0"/>
  </sheetViews>
  <sheetFormatPr defaultColWidth="9" defaultRowHeight="13.9"/>
  <cols>
    <col min="1" max="1" width="71" style="78" customWidth="1"/>
    <col min="2" max="7" width="25.85546875" customWidth="1"/>
  </cols>
  <sheetData>
    <row r="1" spans="1:6" ht="15.6">
      <c r="A1" s="76" t="s">
        <v>44</v>
      </c>
      <c r="B1" s="90">
        <f>VRAGENLIJST!B1</f>
        <v>2022</v>
      </c>
      <c r="C1" s="88">
        <f>VRAGENLIJST!L1</f>
        <v>2023</v>
      </c>
    </row>
    <row r="2" spans="1:6" ht="16.149999999999999" thickBot="1">
      <c r="A2" s="77" t="s">
        <v>207</v>
      </c>
      <c r="B2" s="91">
        <f>VRAGENLIJST!B2</f>
        <v>263</v>
      </c>
      <c r="C2" s="89">
        <f>VRAGENLIJST!L2</f>
        <v>451</v>
      </c>
    </row>
    <row r="4" spans="1:6" ht="15.6">
      <c r="A4" s="82" t="str">
        <f>VRAGENLIJST!A14</f>
        <v>Aantal valide antwoorden per antwoordmogelijkheid (vraag 1)</v>
      </c>
      <c r="B4" s="72" t="s">
        <v>222</v>
      </c>
      <c r="C4" s="72" t="s">
        <v>223</v>
      </c>
      <c r="D4" s="72" t="s">
        <v>224</v>
      </c>
      <c r="E4" s="72" t="s">
        <v>225</v>
      </c>
      <c r="F4" s="72" t="s">
        <v>226</v>
      </c>
    </row>
    <row r="5" spans="1:6" ht="28.9">
      <c r="A5" s="83" t="str">
        <f>VRAGENLIJST!A15</f>
        <v>De opwarming van de aarde is een probleem dat mijn leven en dat van mijn kinderen ernstig gaat bedreigen</v>
      </c>
      <c r="B5" s="70">
        <f>VRAGENLIJST!B15</f>
        <v>18</v>
      </c>
      <c r="C5" s="70">
        <f>VRAGENLIJST!C15</f>
        <v>6</v>
      </c>
      <c r="D5" s="70">
        <f>VRAGENLIJST!D15</f>
        <v>21</v>
      </c>
      <c r="E5" s="70">
        <f>VRAGENLIJST!E15</f>
        <v>8</v>
      </c>
      <c r="F5" s="70">
        <f>VRAGENLIJST!F15</f>
        <v>5</v>
      </c>
    </row>
    <row r="6" spans="1:6" ht="14.45">
      <c r="A6" s="83" t="str">
        <f>VRAGENLIJST!A16</f>
        <v>Ik heb er begrip voor dat campings maatregelen nemen om te verduurzamen.</v>
      </c>
      <c r="B6" s="70">
        <f>VRAGENLIJST!B16</f>
        <v>7</v>
      </c>
      <c r="C6" s="70">
        <f>VRAGENLIJST!C16</f>
        <v>20</v>
      </c>
      <c r="D6" s="70">
        <f>VRAGENLIJST!D16</f>
        <v>60</v>
      </c>
      <c r="E6" s="70">
        <f>VRAGENLIJST!E16</f>
        <v>15</v>
      </c>
      <c r="F6" s="70">
        <f>VRAGENLIJST!F16</f>
        <v>4</v>
      </c>
    </row>
    <row r="7" spans="1:6" ht="28.9">
      <c r="A7" s="83" t="str">
        <f>VRAGENLIJST!A17</f>
        <v>Ik bezoek liever campings die maatregelen nemen om te verduurzamen, dan campings die daar niet mee bezig zijn.</v>
      </c>
      <c r="B7" s="70">
        <f>VRAGENLIJST!B17</f>
        <v>9</v>
      </c>
      <c r="C7" s="70">
        <f>VRAGENLIJST!C17</f>
        <v>20</v>
      </c>
      <c r="D7" s="70">
        <f>VRAGENLIJST!D17</f>
        <v>40</v>
      </c>
      <c r="E7" s="70">
        <f>VRAGENLIJST!E17</f>
        <v>75</v>
      </c>
      <c r="F7" s="70">
        <f>VRAGENLIJST!F17</f>
        <v>4</v>
      </c>
    </row>
    <row r="8" spans="1:6" ht="28.9">
      <c r="A8" s="83" t="str">
        <f>VRAGENLIJST!A18</f>
        <v>Ik ben bereid om mijn gedrag op vakantie aan te passen als dat bijdraagt aan het beperken van klimaatverandering.</v>
      </c>
      <c r="B8" s="70">
        <f>VRAGENLIJST!B18</f>
        <v>12</v>
      </c>
      <c r="C8" s="70">
        <f>VRAGENLIJST!C18</f>
        <v>14</v>
      </c>
      <c r="D8" s="70">
        <f>VRAGENLIJST!D18</f>
        <v>67</v>
      </c>
      <c r="E8" s="70">
        <f>VRAGENLIJST!E18</f>
        <v>15</v>
      </c>
      <c r="F8" s="70">
        <f>VRAGENLIJST!F18</f>
        <v>4</v>
      </c>
    </row>
    <row r="9" spans="1:6" ht="28.9">
      <c r="A9" s="83" t="str">
        <f>VRAGENLIJST!A19</f>
        <v>Ik ben bereid om meer te betalen voor mijn vakantie als dat bijdraagt aan het beperken van klimaatverandering.</v>
      </c>
      <c r="B9" s="70">
        <f>VRAGENLIJST!B19</f>
        <v>3</v>
      </c>
      <c r="C9" s="70">
        <f>VRAGENLIJST!C19</f>
        <v>20</v>
      </c>
      <c r="D9" s="70">
        <f>VRAGENLIJST!D19</f>
        <v>67</v>
      </c>
      <c r="E9" s="70">
        <f>VRAGENLIJST!E19</f>
        <v>15</v>
      </c>
      <c r="F9" s="70">
        <f>VRAGENLIJST!F19</f>
        <v>15</v>
      </c>
    </row>
    <row r="11" spans="1:6" ht="15.6">
      <c r="A11" s="82" t="str">
        <f>VRAGENLIJST!K14</f>
        <v>Aantal valide antwoorden per antwoordmogelijkheid (vraag 1)</v>
      </c>
      <c r="B11" s="72" t="s">
        <v>222</v>
      </c>
      <c r="C11" s="72" t="s">
        <v>223</v>
      </c>
      <c r="D11" s="72" t="s">
        <v>224</v>
      </c>
      <c r="E11" s="72" t="s">
        <v>225</v>
      </c>
      <c r="F11" s="72" t="s">
        <v>226</v>
      </c>
    </row>
    <row r="12" spans="1:6" ht="28.9">
      <c r="A12" s="83" t="str">
        <f>VRAGENLIJST!K15</f>
        <v>De opwarming van de aarde is een probleem dat mijn leven en dat van mijn kinderen ernstig gaat bedreigen</v>
      </c>
      <c r="B12" s="70">
        <f>VRAGENLIJST!L15</f>
        <v>24</v>
      </c>
      <c r="C12" s="70">
        <f>VRAGENLIJST!M15</f>
        <v>6</v>
      </c>
      <c r="D12" s="70">
        <f>VRAGENLIJST!N15</f>
        <v>12</v>
      </c>
      <c r="E12" s="70">
        <f>VRAGENLIJST!O15</f>
        <v>18</v>
      </c>
      <c r="F12" s="70">
        <f>VRAGENLIJST!P15</f>
        <v>19</v>
      </c>
    </row>
    <row r="13" spans="1:6" ht="14.45">
      <c r="A13" s="83" t="str">
        <f>VRAGENLIJST!K16</f>
        <v>Ik heb er begrip voor dat campings maatregelen nemen om te verduurzamen.</v>
      </c>
      <c r="B13" s="70">
        <f>VRAGENLIJST!L16</f>
        <v>5</v>
      </c>
      <c r="C13" s="70">
        <f>VRAGENLIJST!M16</f>
        <v>20</v>
      </c>
      <c r="D13" s="70">
        <f>VRAGENLIJST!N16</f>
        <v>45</v>
      </c>
      <c r="E13" s="70">
        <f>VRAGENLIJST!O16</f>
        <v>49</v>
      </c>
      <c r="F13" s="70">
        <f>VRAGENLIJST!P16</f>
        <v>4</v>
      </c>
    </row>
    <row r="14" spans="1:6" ht="28.9">
      <c r="A14" s="83" t="str">
        <f>VRAGENLIJST!K17</f>
        <v>Ik bezoek liever campings die maatregelen nemen om te verduurzamen, dan campings die daar niet mee bezig zijn.</v>
      </c>
      <c r="B14" s="70">
        <f>VRAGENLIJST!L17</f>
        <v>9</v>
      </c>
      <c r="C14" s="70">
        <f>VRAGENLIJST!M17</f>
        <v>20</v>
      </c>
      <c r="D14" s="70">
        <f>VRAGENLIJST!N17</f>
        <v>35</v>
      </c>
      <c r="E14" s="70">
        <f>VRAGENLIJST!O17</f>
        <v>52</v>
      </c>
      <c r="F14" s="70">
        <f>VRAGENLIJST!P17</f>
        <v>16</v>
      </c>
    </row>
    <row r="15" spans="1:6" ht="28.9">
      <c r="A15" s="83" t="str">
        <f>VRAGENLIJST!K18</f>
        <v>Ik ben bereid om mijn gedrag op vakantie aan te passen als dat bijdraagt aan het beperken van klimaatverandering.</v>
      </c>
      <c r="B15" s="70">
        <f>VRAGENLIJST!L18</f>
        <v>12</v>
      </c>
      <c r="C15" s="70">
        <f>VRAGENLIJST!M18</f>
        <v>14</v>
      </c>
      <c r="D15" s="70">
        <f>VRAGENLIJST!N18</f>
        <v>50</v>
      </c>
      <c r="E15" s="70">
        <f>VRAGENLIJST!O18</f>
        <v>15</v>
      </c>
      <c r="F15" s="70">
        <f>VRAGENLIJST!P18</f>
        <v>4</v>
      </c>
    </row>
    <row r="16" spans="1:6" ht="28.9">
      <c r="A16" s="83" t="str">
        <f>VRAGENLIJST!K19</f>
        <v>Ik ben bereid om meer te betalen voor mijn vakantie als dat bijdraagt aan het beperken van klimaatverandering.</v>
      </c>
      <c r="B16" s="70">
        <f>VRAGENLIJST!L19</f>
        <v>3</v>
      </c>
      <c r="C16" s="70">
        <f>VRAGENLIJST!M19</f>
        <v>20</v>
      </c>
      <c r="D16" s="70">
        <f>VRAGENLIJST!N19</f>
        <v>47</v>
      </c>
      <c r="E16" s="70">
        <f>VRAGENLIJST!O19</f>
        <v>25</v>
      </c>
      <c r="F16" s="70">
        <f>VRAGENLIJST!P19</f>
        <v>15</v>
      </c>
    </row>
    <row r="18" spans="1:7" ht="15.6">
      <c r="A18" s="82" t="s">
        <v>221</v>
      </c>
      <c r="B18" s="73">
        <f>B1</f>
        <v>2022</v>
      </c>
      <c r="C18" s="73">
        <f>C1</f>
        <v>2023</v>
      </c>
      <c r="D18" s="73" t="s">
        <v>303</v>
      </c>
    </row>
    <row r="19" spans="1:7" ht="28.9">
      <c r="A19" s="83" t="s">
        <v>227</v>
      </c>
      <c r="B19" s="87">
        <f>IF(SUM(VRAGENLIJST!B15:F15)&gt;0,SUM(VRAGENLIJST!E15:F15)/SUM(VRAGENLIJST!B15:F15)-SUM(VRAGENLIJST!B15:C15)/SUM(VRAGENLIJST!B15:F15),"")</f>
        <v>-0.18965517241379309</v>
      </c>
      <c r="C19" s="87">
        <f>IF(SUM(VRAGENLIJST!L15:P15)&gt;0,SUM(VRAGENLIJST!O15:P15)/SUM(VRAGENLIJST!L15:P15)-SUM(VRAGENLIJST!L15:M15)/SUM(VRAGENLIJST!L15:P15),"")</f>
        <v>8.8607594936708833E-2</v>
      </c>
      <c r="D19" s="92">
        <v>0</v>
      </c>
    </row>
    <row r="20" spans="1:7" ht="14.45">
      <c r="A20" s="83" t="s">
        <v>228</v>
      </c>
      <c r="B20" s="87">
        <f>IF(SUM(VRAGENLIJST!B16:F16)&gt;0,SUM(VRAGENLIJST!E16:F16)/SUM(VRAGENLIJST!B16:F16)-SUM(VRAGENLIJST!B16:C16)/SUM(VRAGENLIJST!B16:F16),"")</f>
        <v>-7.5471698113207558E-2</v>
      </c>
      <c r="C20" s="87">
        <f>IF(SUM(VRAGENLIJST!L16:P16)&gt;0,SUM(VRAGENLIJST!O16:P16)/SUM(VRAGENLIJST!L16:P16)-SUM(VRAGENLIJST!L16:M16)/SUM(VRAGENLIJST!L16:P16),"")</f>
        <v>0.22764227642276424</v>
      </c>
      <c r="D20" s="92">
        <v>0</v>
      </c>
    </row>
    <row r="21" spans="1:7" ht="28.9">
      <c r="A21" s="83" t="s">
        <v>229</v>
      </c>
      <c r="B21" s="87">
        <f>IF(SUM(VRAGENLIJST!B17:F17)&gt;0,SUM(VRAGENLIJST!E17:F17)/SUM(VRAGENLIJST!B17:F17)-SUM(VRAGENLIJST!B17:C17)/SUM(VRAGENLIJST!B17:F17),"")</f>
        <v>0.33783783783783783</v>
      </c>
      <c r="C21" s="87">
        <f>IF(SUM(VRAGENLIJST!L17:P17)&gt;0,SUM(VRAGENLIJST!O17:P17)/SUM(VRAGENLIJST!L17:P17)-SUM(VRAGENLIJST!L17:M17)/SUM(VRAGENLIJST!L17:P17),"")</f>
        <v>0.29545454545454541</v>
      </c>
      <c r="D21" s="92">
        <v>0</v>
      </c>
    </row>
    <row r="22" spans="1:7" ht="28.9">
      <c r="A22" s="83" t="s">
        <v>230</v>
      </c>
      <c r="B22" s="87">
        <f>IF(SUM(VRAGENLIJST!B18:F18)&gt;0,SUM(VRAGENLIJST!E18:F18)/SUM(VRAGENLIJST!B18:F18)-SUM(VRAGENLIJST!B18:C18)/SUM(VRAGENLIJST!B18:F18),"")</f>
        <v>-6.25E-2</v>
      </c>
      <c r="C22" s="87">
        <f>IF(SUM(VRAGENLIJST!L18:P18)&gt;0,SUM(VRAGENLIJST!O18:P18)/SUM(VRAGENLIJST!L18:P18)-SUM(VRAGENLIJST!L18:M18)/SUM(VRAGENLIJST!L18:P18),"")</f>
        <v>-7.3684210526315796E-2</v>
      </c>
      <c r="D22" s="92">
        <v>0</v>
      </c>
    </row>
    <row r="23" spans="1:7" ht="28.9">
      <c r="A23" s="83" t="s">
        <v>231</v>
      </c>
      <c r="B23" s="87">
        <f>IF(SUM(VRAGENLIJST!B19:F19)&gt;0,SUM(VRAGENLIJST!E19:F19)/SUM(VRAGENLIJST!B19:F19)-SUM(VRAGENLIJST!B19:C19)/SUM(VRAGENLIJST!B19:F19),"")</f>
        <v>5.833333333333332E-2</v>
      </c>
      <c r="C23" s="87">
        <f>IF(SUM(VRAGENLIJST!L19:P19)&gt;0,SUM(VRAGENLIJST!O19:P19)/SUM(VRAGENLIJST!L19:P19)-SUM(VRAGENLIJST!L19:M19)/SUM(VRAGENLIJST!L19:P19),"")</f>
        <v>0.15454545454545457</v>
      </c>
      <c r="D23" s="92">
        <v>0</v>
      </c>
    </row>
    <row r="25" spans="1:7">
      <c r="A25" s="84"/>
      <c r="B25" s="69"/>
      <c r="C25" s="69"/>
      <c r="D25" s="69"/>
      <c r="E25" s="69"/>
      <c r="F25" s="69"/>
      <c r="G25" s="69"/>
    </row>
    <row r="26" spans="1:7" ht="14.45" thickBot="1"/>
    <row r="27" spans="1:7" ht="16.149999999999999" thickBot="1">
      <c r="A27" s="79" t="s">
        <v>232</v>
      </c>
    </row>
    <row r="28" spans="1:7">
      <c r="A28" s="80" t="s">
        <v>233</v>
      </c>
    </row>
    <row r="29" spans="1:7">
      <c r="A29" s="80" t="s">
        <v>234</v>
      </c>
    </row>
    <row r="30" spans="1:7" ht="14.45" thickBot="1">
      <c r="A30" s="81" t="s">
        <v>235</v>
      </c>
    </row>
    <row r="32" spans="1:7" ht="31.15">
      <c r="A32" s="82" t="s">
        <v>236</v>
      </c>
      <c r="B32" s="75" t="s">
        <v>304</v>
      </c>
      <c r="C32" s="75" t="s">
        <v>305</v>
      </c>
      <c r="D32" s="75" t="s">
        <v>306</v>
      </c>
      <c r="E32" s="75" t="s">
        <v>304</v>
      </c>
      <c r="F32" s="75" t="s">
        <v>305</v>
      </c>
      <c r="G32" s="75" t="s">
        <v>306</v>
      </c>
    </row>
    <row r="33" spans="1:7" ht="14.45">
      <c r="A33" s="93" t="str">
        <f>TEXT(VRAGENLIJST!$B$1,"0")</f>
        <v>2022</v>
      </c>
      <c r="B33" s="70">
        <f>VRAGENLIJST!B29</f>
        <v>89</v>
      </c>
      <c r="C33" s="70">
        <f>VRAGENLIJST!C29</f>
        <v>140</v>
      </c>
      <c r="D33" s="70">
        <f>VRAGENLIJST!D29</f>
        <v>360</v>
      </c>
      <c r="E33" s="87">
        <f t="shared" ref="E33:G34" si="0">B33/SUM($B33:$D33)</f>
        <v>0.15110356536502548</v>
      </c>
      <c r="F33" s="87">
        <f t="shared" si="0"/>
        <v>0.23769100169779286</v>
      </c>
      <c r="G33" s="87">
        <f t="shared" si="0"/>
        <v>0.61120543293718166</v>
      </c>
    </row>
    <row r="34" spans="1:7" ht="14.45">
      <c r="A34" s="93" t="str">
        <f>TEXT(VRAGENLIJST!$L$1,"0")</f>
        <v>2023</v>
      </c>
      <c r="B34" s="70">
        <f>VRAGENLIJST!L29</f>
        <v>84</v>
      </c>
      <c r="C34" s="70">
        <f>VRAGENLIJST!M29</f>
        <v>190</v>
      </c>
      <c r="D34" s="70">
        <f>VRAGENLIJST!N29</f>
        <v>75</v>
      </c>
      <c r="E34" s="87">
        <f t="shared" si="0"/>
        <v>0.24068767908309455</v>
      </c>
      <c r="F34" s="87">
        <f t="shared" si="0"/>
        <v>0.54441260744985676</v>
      </c>
      <c r="G34" s="87">
        <f t="shared" si="0"/>
        <v>0.2148997134670487</v>
      </c>
    </row>
    <row r="36" spans="1:7">
      <c r="A36" s="84"/>
      <c r="B36" s="69"/>
      <c r="C36" s="69"/>
      <c r="D36" s="69"/>
      <c r="E36" s="69"/>
      <c r="F36" s="69"/>
      <c r="G36" s="69"/>
    </row>
    <row r="37" spans="1:7" ht="14.45" thickBot="1"/>
    <row r="38" spans="1:7" ht="16.149999999999999" thickBot="1">
      <c r="A38" s="79" t="s">
        <v>238</v>
      </c>
    </row>
    <row r="39" spans="1:7">
      <c r="A39" s="80" t="s">
        <v>239</v>
      </c>
    </row>
    <row r="40" spans="1:7">
      <c r="A40" s="80" t="s">
        <v>240</v>
      </c>
    </row>
    <row r="41" spans="1:7">
      <c r="A41" s="80" t="s">
        <v>241</v>
      </c>
    </row>
    <row r="42" spans="1:7">
      <c r="A42" s="80" t="s">
        <v>242</v>
      </c>
    </row>
    <row r="43" spans="1:7" ht="14.45" thickBot="1">
      <c r="A43" s="81" t="s">
        <v>243</v>
      </c>
    </row>
    <row r="45" spans="1:7" ht="15.6">
      <c r="A45" s="82" t="s">
        <v>244</v>
      </c>
      <c r="B45" s="72" t="s">
        <v>245</v>
      </c>
      <c r="C45" s="72" t="s">
        <v>246</v>
      </c>
      <c r="D45" s="72" t="s">
        <v>247</v>
      </c>
      <c r="E45" s="72" t="s">
        <v>248</v>
      </c>
      <c r="F45" s="72" t="s">
        <v>249</v>
      </c>
    </row>
    <row r="46" spans="1:7" ht="14.45">
      <c r="A46" s="83" t="s">
        <v>250</v>
      </c>
      <c r="B46" s="87">
        <f>VRAGENLIJST!B41/SUM(VRAGENLIJST!$B$41:$F$41)</f>
        <v>0.12844036697247707</v>
      </c>
      <c r="C46" s="87">
        <f>VRAGENLIJST!C41/SUM(VRAGENLIJST!$B$41:$F$41)</f>
        <v>0.22935779816513763</v>
      </c>
      <c r="D46" s="87">
        <f>VRAGENLIJST!D41/SUM(VRAGENLIJST!$B$41:$F$41)</f>
        <v>0.12232415902140673</v>
      </c>
      <c r="E46" s="87">
        <f>VRAGENLIJST!E41/SUM(VRAGENLIJST!$B$41:$F$41)</f>
        <v>0.31192660550458717</v>
      </c>
      <c r="F46" s="87">
        <f>VRAGENLIJST!F41/SUM(VRAGENLIJST!$B$41:$F$41)</f>
        <v>0.20795107033639143</v>
      </c>
    </row>
    <row r="48" spans="1:7" ht="15.6">
      <c r="A48" s="82" t="s">
        <v>244</v>
      </c>
      <c r="B48" s="72" t="s">
        <v>245</v>
      </c>
      <c r="C48" s="72" t="s">
        <v>246</v>
      </c>
      <c r="D48" s="72" t="s">
        <v>247</v>
      </c>
      <c r="E48" s="72" t="s">
        <v>248</v>
      </c>
      <c r="F48" s="72" t="s">
        <v>249</v>
      </c>
    </row>
    <row r="49" spans="1:7" ht="14.45">
      <c r="A49" s="83" t="s">
        <v>250</v>
      </c>
      <c r="B49" s="87">
        <f>VRAGENLIJST!L41/SUM(VRAGENLIJST!$L$41:$P$41)</f>
        <v>7.6923076923076927E-2</v>
      </c>
      <c r="C49" s="87">
        <f>VRAGENLIJST!M41/SUM(VRAGENLIJST!$L$41:$P$41)</f>
        <v>9.2307692307692313E-2</v>
      </c>
      <c r="D49" s="87">
        <f>VRAGENLIJST!N41/SUM(VRAGENLIJST!$L$41:$P$41)</f>
        <v>0.12820512820512819</v>
      </c>
      <c r="E49" s="87">
        <f>VRAGENLIJST!O41/SUM(VRAGENLIJST!$L$41:$P$41)</f>
        <v>0.37948717948717947</v>
      </c>
      <c r="F49" s="87">
        <f>VRAGENLIJST!P41/SUM(VRAGENLIJST!$L$41:$P$41)</f>
        <v>0.32307692307692309</v>
      </c>
    </row>
    <row r="51" spans="1:7">
      <c r="A51" s="84"/>
      <c r="B51" s="69"/>
      <c r="C51" s="69"/>
      <c r="D51" s="69"/>
      <c r="E51" s="69"/>
      <c r="F51" s="69"/>
      <c r="G51" s="69"/>
    </row>
    <row r="52" spans="1:7" ht="14.45" thickBot="1"/>
    <row r="53" spans="1:7" ht="16.149999999999999" thickBot="1">
      <c r="A53" s="79" t="s">
        <v>251</v>
      </c>
    </row>
    <row r="54" spans="1:7">
      <c r="A54" s="80" t="s">
        <v>252</v>
      </c>
    </row>
    <row r="55" spans="1:7" ht="14.45" thickBot="1">
      <c r="A55" s="81" t="s">
        <v>253</v>
      </c>
    </row>
    <row r="57" spans="1:7" ht="15.6">
      <c r="A57" s="85" t="s">
        <v>254</v>
      </c>
      <c r="B57" s="68" t="s">
        <v>307</v>
      </c>
      <c r="C57" s="68" t="s">
        <v>308</v>
      </c>
    </row>
    <row r="58" spans="1:7" ht="14.45">
      <c r="A58" s="83" t="s">
        <v>255</v>
      </c>
      <c r="B58" s="87">
        <f>VRAGENLIJST!B50/SUM(VRAGENLIJST!$B50:$C50)</f>
        <v>0.38848920863309355</v>
      </c>
      <c r="C58" s="87">
        <f>VRAGENLIJST!C50/SUM(VRAGENLIJST!$B50:$C50)</f>
        <v>0.61151079136690645</v>
      </c>
    </row>
    <row r="60" spans="1:7" ht="15.6">
      <c r="A60" s="85" t="s">
        <v>254</v>
      </c>
      <c r="B60" s="68" t="s">
        <v>307</v>
      </c>
      <c r="C60" s="68" t="s">
        <v>308</v>
      </c>
    </row>
    <row r="61" spans="1:7" ht="14.45">
      <c r="A61" s="83" t="s">
        <v>255</v>
      </c>
      <c r="B61" s="87">
        <f>VRAGENLIJST!L50/SUM(VRAGENLIJST!$L50:$M50)</f>
        <v>0.5736434108527132</v>
      </c>
      <c r="C61" s="87">
        <f>VRAGENLIJST!M50/SUM(VRAGENLIJST!$L50:$M50)</f>
        <v>0.4263565891472868</v>
      </c>
    </row>
    <row r="63" spans="1:7">
      <c r="A63" s="84"/>
      <c r="B63" s="69"/>
      <c r="C63" s="69"/>
      <c r="D63" s="69"/>
      <c r="E63" s="69"/>
      <c r="F63" s="69"/>
      <c r="G63" s="69"/>
    </row>
    <row r="64" spans="1:7" ht="14.45" thickBot="1"/>
    <row r="65" spans="1:7" ht="16.149999999999999" thickBot="1">
      <c r="A65" s="79" t="s">
        <v>256</v>
      </c>
    </row>
    <row r="66" spans="1:7">
      <c r="A66" s="80" t="s">
        <v>257</v>
      </c>
    </row>
    <row r="67" spans="1:7">
      <c r="A67" s="80" t="s">
        <v>258</v>
      </c>
    </row>
    <row r="68" spans="1:7">
      <c r="A68" s="80" t="s">
        <v>259</v>
      </c>
    </row>
    <row r="69" spans="1:7">
      <c r="A69" s="80" t="s">
        <v>260</v>
      </c>
    </row>
    <row r="70" spans="1:7" ht="14.45" thickBot="1">
      <c r="A70" s="81" t="s">
        <v>261</v>
      </c>
    </row>
    <row r="72" spans="1:7" ht="15.6">
      <c r="A72" s="82" t="s">
        <v>244</v>
      </c>
      <c r="B72" s="96" t="s">
        <v>262</v>
      </c>
      <c r="C72" s="96" t="s">
        <v>263</v>
      </c>
      <c r="D72" s="96" t="s">
        <v>264</v>
      </c>
      <c r="E72" s="96" t="s">
        <v>265</v>
      </c>
      <c r="F72" s="96" t="s">
        <v>266</v>
      </c>
    </row>
    <row r="73" spans="1:7" ht="14.45">
      <c r="A73" s="83" t="s">
        <v>267</v>
      </c>
      <c r="B73" s="87">
        <f>VRAGENLIJST!B62/SUM(VRAGENLIJST!$B$62:$F$62)</f>
        <v>0.12844036697247707</v>
      </c>
      <c r="C73" s="87">
        <f>VRAGENLIJST!C62/SUM(VRAGENLIJST!$B$62:$F$62)</f>
        <v>0.22935779816513763</v>
      </c>
      <c r="D73" s="87">
        <f>VRAGENLIJST!D62/SUM(VRAGENLIJST!$B$62:$F$62)</f>
        <v>0.12232415902140673</v>
      </c>
      <c r="E73" s="87">
        <f>VRAGENLIJST!E62/SUM(VRAGENLIJST!$B$62:$F$62)</f>
        <v>0.31192660550458717</v>
      </c>
      <c r="F73" s="87">
        <f>VRAGENLIJST!F62/SUM(VRAGENLIJST!$B$62:$F$62)</f>
        <v>0.20795107033639143</v>
      </c>
    </row>
    <row r="75" spans="1:7" ht="15.6">
      <c r="A75" s="82" t="s">
        <v>244</v>
      </c>
      <c r="B75" s="96" t="s">
        <v>262</v>
      </c>
      <c r="C75" s="96" t="s">
        <v>263</v>
      </c>
      <c r="D75" s="96" t="s">
        <v>264</v>
      </c>
      <c r="E75" s="96" t="s">
        <v>265</v>
      </c>
      <c r="F75" s="96" t="s">
        <v>266</v>
      </c>
    </row>
    <row r="76" spans="1:7" ht="14.45">
      <c r="A76" s="83" t="s">
        <v>267</v>
      </c>
      <c r="B76" s="87">
        <f>VRAGENLIJST!L62/SUM(VRAGENLIJST!$L$62:$P$62)</f>
        <v>7.6923076923076927E-2</v>
      </c>
      <c r="C76" s="87">
        <f>VRAGENLIJST!M62/SUM(VRAGENLIJST!$L$62:$P$62)</f>
        <v>9.2307692307692313E-2</v>
      </c>
      <c r="D76" s="87">
        <f>VRAGENLIJST!N62/SUM(VRAGENLIJST!$L$62:$P$62)</f>
        <v>0.12820512820512819</v>
      </c>
      <c r="E76" s="87">
        <f>VRAGENLIJST!O62/SUM(VRAGENLIJST!$L$62:$P$62)</f>
        <v>0.37948717948717947</v>
      </c>
      <c r="F76" s="87">
        <f>VRAGENLIJST!P62/SUM(VRAGENLIJST!$L$62:$P$62)</f>
        <v>0.32307692307692309</v>
      </c>
    </row>
    <row r="78" spans="1:7" ht="41.45">
      <c r="A78" s="71" t="s">
        <v>268</v>
      </c>
    </row>
    <row r="80" spans="1:7">
      <c r="A80" s="84"/>
      <c r="B80" s="69"/>
      <c r="C80" s="69"/>
      <c r="D80" s="69"/>
      <c r="E80" s="69"/>
      <c r="F80" s="69"/>
      <c r="G80" s="69"/>
    </row>
    <row r="81" spans="1:6" ht="14.45" thickBot="1"/>
    <row r="82" spans="1:6" ht="16.149999999999999" thickBot="1">
      <c r="A82" s="79" t="s">
        <v>269</v>
      </c>
    </row>
    <row r="83" spans="1:6">
      <c r="A83" s="80" t="s">
        <v>216</v>
      </c>
    </row>
    <row r="84" spans="1:6">
      <c r="A84" s="80" t="s">
        <v>217</v>
      </c>
    </row>
    <row r="85" spans="1:6">
      <c r="A85" s="80" t="s">
        <v>218</v>
      </c>
    </row>
    <row r="86" spans="1:6">
      <c r="A86" s="80" t="s">
        <v>219</v>
      </c>
    </row>
    <row r="87" spans="1:6" ht="14.45" thickBot="1">
      <c r="A87" s="81" t="s">
        <v>220</v>
      </c>
    </row>
    <row r="89" spans="1:6" ht="15.6">
      <c r="A89" s="82" t="s">
        <v>270</v>
      </c>
      <c r="B89" s="72" t="s">
        <v>222</v>
      </c>
      <c r="C89" s="72" t="s">
        <v>223</v>
      </c>
      <c r="D89" s="72" t="s">
        <v>224</v>
      </c>
      <c r="E89" s="72" t="s">
        <v>225</v>
      </c>
      <c r="F89" s="72" t="s">
        <v>226</v>
      </c>
    </row>
    <row r="90" spans="1:6" ht="14.45">
      <c r="A90" s="83" t="s">
        <v>271</v>
      </c>
      <c r="B90" s="87">
        <f>VRAGENLIJST!B76/SUM(VRAGENLIJST!$B76:$F76)</f>
        <v>0.11650485436893204</v>
      </c>
      <c r="C90" s="87">
        <f>VRAGENLIJST!C76/SUM(VRAGENLIJST!$B76:$F76)</f>
        <v>0.13592233009708737</v>
      </c>
      <c r="D90" s="87">
        <f>VRAGENLIJST!D76/SUM(VRAGENLIJST!$B76:$F76)</f>
        <v>0.52427184466019416</v>
      </c>
      <c r="E90" s="87">
        <f>VRAGENLIJST!E76/SUM(VRAGENLIJST!$B76:$F76)</f>
        <v>0.14563106796116504</v>
      </c>
      <c r="F90" s="87">
        <f>VRAGENLIJST!F76/SUM(VRAGENLIJST!$B76:$F76)</f>
        <v>7.7669902912621352E-2</v>
      </c>
    </row>
    <row r="91" spans="1:6" ht="14.45">
      <c r="A91" s="83" t="s">
        <v>272</v>
      </c>
      <c r="B91" s="87">
        <f>VRAGENLIJST!B77/SUM(VRAGENLIJST!$B77:$F77)</f>
        <v>0.15151515151515152</v>
      </c>
      <c r="C91" s="87">
        <f>VRAGENLIJST!C77/SUM(VRAGENLIJST!$B77:$F77)</f>
        <v>0.24242424242424243</v>
      </c>
      <c r="D91" s="87">
        <f>VRAGENLIJST!D77/SUM(VRAGENLIJST!$B77:$F77)</f>
        <v>0.35353535353535354</v>
      </c>
      <c r="E91" s="87">
        <f>VRAGENLIJST!E77/SUM(VRAGENLIJST!$B77:$F77)</f>
        <v>4.0404040404040407E-2</v>
      </c>
      <c r="F91" s="87">
        <f>VRAGENLIJST!F77/SUM(VRAGENLIJST!$B77:$F77)</f>
        <v>0.21212121212121213</v>
      </c>
    </row>
    <row r="93" spans="1:6" ht="15.6">
      <c r="A93" s="82" t="s">
        <v>270</v>
      </c>
      <c r="B93" s="72" t="s">
        <v>222</v>
      </c>
      <c r="C93" s="72" t="s">
        <v>223</v>
      </c>
      <c r="D93" s="72" t="s">
        <v>224</v>
      </c>
      <c r="E93" s="72" t="s">
        <v>225</v>
      </c>
      <c r="F93" s="72" t="s">
        <v>226</v>
      </c>
    </row>
    <row r="94" spans="1:6" ht="14.45">
      <c r="A94" s="83" t="s">
        <v>271</v>
      </c>
      <c r="B94" s="87">
        <f>VRAGENLIJST!L76/SUM(VRAGENLIJST!$L76:$P76)</f>
        <v>0.10714285714285714</v>
      </c>
      <c r="C94" s="87">
        <f>VRAGENLIJST!M76/SUM(VRAGENLIJST!$L76:$P76)</f>
        <v>0.125</v>
      </c>
      <c r="D94" s="87">
        <f>VRAGENLIJST!N76/SUM(VRAGENLIJST!$L76:$P76)</f>
        <v>0.5982142857142857</v>
      </c>
      <c r="E94" s="87">
        <f>VRAGENLIJST!O76/SUM(VRAGENLIJST!$L76:$P76)</f>
        <v>0.13392857142857142</v>
      </c>
      <c r="F94" s="87">
        <f>VRAGENLIJST!P76/SUM(VRAGENLIJST!$L76:$P76)</f>
        <v>3.5714285714285712E-2</v>
      </c>
    </row>
    <row r="95" spans="1:6" ht="14.45">
      <c r="A95" s="83" t="s">
        <v>272</v>
      </c>
      <c r="B95" s="87">
        <f>VRAGENLIJST!L77/SUM(VRAGENLIJST!$L77:$P77)</f>
        <v>0.15151515151515152</v>
      </c>
      <c r="C95" s="87">
        <f>VRAGENLIJST!M77/SUM(VRAGENLIJST!$L77:$P77)</f>
        <v>0.24242424242424243</v>
      </c>
      <c r="D95" s="87">
        <f>VRAGENLIJST!N77/SUM(VRAGENLIJST!$L77:$P77)</f>
        <v>0.35353535353535354</v>
      </c>
      <c r="E95" s="87">
        <f>VRAGENLIJST!O77/SUM(VRAGENLIJST!$L77:$P77)</f>
        <v>4.0404040404040407E-2</v>
      </c>
      <c r="F95" s="87">
        <f>VRAGENLIJST!P77/SUM(VRAGENLIJST!$L77:$P77)</f>
        <v>0.21212121212121213</v>
      </c>
    </row>
    <row r="97" spans="1:7">
      <c r="A97" s="84"/>
      <c r="B97" s="69"/>
      <c r="C97" s="69"/>
      <c r="D97" s="69"/>
      <c r="E97" s="69"/>
      <c r="F97" s="69"/>
      <c r="G97" s="69"/>
    </row>
    <row r="98" spans="1:7" ht="14.45" thickBot="1"/>
    <row r="99" spans="1:7" ht="16.149999999999999" thickBot="1">
      <c r="A99" s="79" t="s">
        <v>273</v>
      </c>
    </row>
    <row r="100" spans="1:7" ht="14.45" thickBot="1">
      <c r="A100" s="81" t="s">
        <v>274</v>
      </c>
    </row>
    <row r="102" spans="1:7" ht="41.45">
      <c r="A102" s="71" t="s">
        <v>275</v>
      </c>
    </row>
    <row r="104" spans="1:7">
      <c r="A104" s="84"/>
      <c r="B104" s="69"/>
      <c r="C104" s="69"/>
      <c r="D104" s="69"/>
      <c r="E104" s="69"/>
      <c r="F104" s="69"/>
      <c r="G104" s="69"/>
    </row>
    <row r="105" spans="1:7" ht="14.45" thickBot="1"/>
    <row r="106" spans="1:7" ht="16.149999999999999" thickBot="1">
      <c r="A106" s="79" t="s">
        <v>276</v>
      </c>
    </row>
    <row r="107" spans="1:7" ht="14.45" thickBot="1">
      <c r="A107" s="81" t="s">
        <v>277</v>
      </c>
    </row>
    <row r="109" spans="1:7" ht="15.6">
      <c r="A109" s="82" t="s">
        <v>278</v>
      </c>
      <c r="B109" s="73" t="s">
        <v>279</v>
      </c>
      <c r="C109" s="73" t="s">
        <v>280</v>
      </c>
      <c r="D109" s="73" t="s">
        <v>281</v>
      </c>
      <c r="E109" s="73" t="s">
        <v>282</v>
      </c>
      <c r="F109" s="73" t="s">
        <v>283</v>
      </c>
    </row>
    <row r="110" spans="1:7" ht="14.45">
      <c r="A110" s="83" t="s">
        <v>284</v>
      </c>
      <c r="B110" s="70">
        <v>0</v>
      </c>
      <c r="C110" s="70">
        <v>0</v>
      </c>
      <c r="D110" s="70">
        <v>0</v>
      </c>
      <c r="E110" s="70">
        <v>0</v>
      </c>
      <c r="F110" s="70">
        <v>0</v>
      </c>
    </row>
    <row r="112" spans="1:7">
      <c r="A112" s="84"/>
      <c r="B112" s="69"/>
      <c r="C112" s="69"/>
      <c r="D112" s="69"/>
      <c r="E112" s="69"/>
      <c r="F112" s="69"/>
      <c r="G112" s="69"/>
    </row>
    <row r="113" spans="1:7" ht="14.45" thickBot="1"/>
    <row r="114" spans="1:7" ht="16.149999999999999" thickBot="1">
      <c r="A114" s="79" t="s">
        <v>285</v>
      </c>
    </row>
    <row r="115" spans="1:7" ht="14.45" thickBot="1">
      <c r="A115" s="81" t="s">
        <v>286</v>
      </c>
    </row>
    <row r="117" spans="1:7" ht="31.15">
      <c r="A117" s="86" t="s">
        <v>278</v>
      </c>
      <c r="B117" s="74" t="s">
        <v>287</v>
      </c>
      <c r="C117" s="74" t="s">
        <v>288</v>
      </c>
      <c r="D117" s="74" t="s">
        <v>289</v>
      </c>
      <c r="E117" s="75" t="s">
        <v>290</v>
      </c>
      <c r="F117" s="74" t="s">
        <v>291</v>
      </c>
      <c r="G117" s="74" t="s">
        <v>292</v>
      </c>
    </row>
    <row r="118" spans="1:7" ht="14.45">
      <c r="A118" s="83" t="s">
        <v>293</v>
      </c>
      <c r="B118" s="70">
        <v>0</v>
      </c>
      <c r="C118" s="70">
        <v>0</v>
      </c>
      <c r="D118" s="70">
        <v>0</v>
      </c>
      <c r="E118" s="70">
        <v>0</v>
      </c>
      <c r="F118" s="70">
        <v>0</v>
      </c>
      <c r="G118" s="70">
        <v>0</v>
      </c>
    </row>
    <row r="120" spans="1:7">
      <c r="A120" s="84"/>
      <c r="B120" s="69"/>
      <c r="C120" s="69"/>
      <c r="D120" s="69"/>
      <c r="E120" s="69"/>
      <c r="F120" s="69"/>
      <c r="G120" s="69"/>
    </row>
    <row r="121" spans="1:7" ht="14.45" thickBot="1"/>
    <row r="122" spans="1:7" ht="16.149999999999999" thickBot="1">
      <c r="A122" s="79" t="s">
        <v>294</v>
      </c>
    </row>
    <row r="123" spans="1:7" ht="14.45" thickBot="1">
      <c r="A123" s="81" t="s">
        <v>286</v>
      </c>
    </row>
    <row r="125" spans="1:7" ht="15.6">
      <c r="A125" s="86" t="s">
        <v>295</v>
      </c>
      <c r="B125" s="74" t="s">
        <v>296</v>
      </c>
      <c r="C125" s="74" t="s">
        <v>297</v>
      </c>
      <c r="D125" s="74" t="s">
        <v>298</v>
      </c>
      <c r="E125" s="74" t="s">
        <v>292</v>
      </c>
    </row>
    <row r="126" spans="1:7" ht="14.45">
      <c r="A126" s="83" t="s">
        <v>299</v>
      </c>
      <c r="B126" s="70">
        <v>0</v>
      </c>
      <c r="C126" s="70">
        <v>0</v>
      </c>
      <c r="D126" s="70">
        <v>0</v>
      </c>
      <c r="E126" s="70">
        <v>0</v>
      </c>
    </row>
    <row r="128" spans="1:7">
      <c r="A128" s="84"/>
      <c r="B128" s="69"/>
      <c r="C128" s="69"/>
      <c r="D128" s="69"/>
      <c r="E128" s="69"/>
      <c r="F128" s="69"/>
      <c r="G128" s="69"/>
    </row>
    <row r="129" spans="1:7" ht="14.45" thickBot="1"/>
    <row r="130" spans="1:7" ht="16.149999999999999" thickBot="1">
      <c r="A130" s="79" t="s">
        <v>300</v>
      </c>
    </row>
    <row r="131" spans="1:7" ht="14.45" thickBot="1">
      <c r="A131" s="81" t="s">
        <v>301</v>
      </c>
    </row>
    <row r="133" spans="1:7" ht="41.45">
      <c r="A133" s="71" t="s">
        <v>302</v>
      </c>
    </row>
    <row r="135" spans="1:7">
      <c r="A135" s="84"/>
      <c r="B135" s="69"/>
      <c r="C135" s="69"/>
      <c r="D135" s="69"/>
      <c r="E135" s="69"/>
      <c r="F135" s="69"/>
      <c r="G135" s="69"/>
    </row>
    <row r="137" spans="1:7" ht="15.6">
      <c r="A137" s="86" t="s">
        <v>309</v>
      </c>
      <c r="B137" s="75" t="s">
        <v>310</v>
      </c>
    </row>
    <row r="138" spans="1:7" ht="14.45">
      <c r="A138" s="93">
        <f>B1</f>
        <v>2022</v>
      </c>
      <c r="B138" s="94">
        <f>INVULFORMULIER!$C$65/B2*1000</f>
        <v>252.3954372623574</v>
      </c>
    </row>
    <row r="139" spans="1:7" ht="14.45">
      <c r="A139" s="93">
        <f>C1</f>
        <v>2023</v>
      </c>
      <c r="B139" s="94">
        <f>INVULFORMULIER!$C$65/C2*1000</f>
        <v>147.18403547671841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40DBDBF3650C4B83A0F860B8604803" ma:contentTypeVersion="14" ma:contentTypeDescription="Create a new document." ma:contentTypeScope="" ma:versionID="ccd4ca5a71b3a4211e6641febc50f2ba">
  <xsd:schema xmlns:xsd="http://www.w3.org/2001/XMLSchema" xmlns:xs="http://www.w3.org/2001/XMLSchema" xmlns:p="http://schemas.microsoft.com/office/2006/metadata/properties" xmlns:ns2="f4c3d0cf-9e01-4056-a0d8-4632295515af" xmlns:ns3="6e37f4e8-3571-4f09-b7a6-2f9969f41951" targetNamespace="http://schemas.microsoft.com/office/2006/metadata/properties" ma:root="true" ma:fieldsID="bb92b521a79478db07bd2a12377d2fc9" ns2:_="" ns3:_="">
    <xsd:import namespace="f4c3d0cf-9e01-4056-a0d8-4632295515af"/>
    <xsd:import namespace="6e37f4e8-3571-4f09-b7a6-2f9969f419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c3d0cf-9e01-4056-a0d8-4632295515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0a708cad-5c33-4bc2-bb7f-2a05af8a24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37f4e8-3571-4f09-b7a6-2f9969f41951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4859a4c-80f5-483e-a033-8a2956fd1d23}" ma:internalName="TaxCatchAll" ma:showField="CatchAllData" ma:web="6e37f4e8-3571-4f09-b7a6-2f9969f4195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e37f4e8-3571-4f09-b7a6-2f9969f41951" xsi:nil="true"/>
    <lcf76f155ced4ddcb4097134ff3c332f xmlns="f4c3d0cf-9e01-4056-a0d8-4632295515af">
      <Terms xmlns="http://schemas.microsoft.com/office/infopath/2007/PartnerControls"/>
    </lcf76f155ced4ddcb4097134ff3c332f>
    <SharedWithUsers xmlns="6e37f4e8-3571-4f09-b7a6-2f9969f41951">
      <UserInfo>
        <DisplayName>Mariska Polderman-Karreman</DisplayName>
        <AccountId>21</AccountId>
        <AccountType/>
      </UserInfo>
      <UserInfo>
        <DisplayName>Ageeth van Maldegem</DisplayName>
        <AccountId>14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41287077-25EF-4D9F-A2E1-66E8DF5C9C38}"/>
</file>

<file path=customXml/itemProps2.xml><?xml version="1.0" encoding="utf-8"?>
<ds:datastoreItem xmlns:ds="http://schemas.openxmlformats.org/officeDocument/2006/customXml" ds:itemID="{C4E3A889-A7F8-4FB9-A753-8BAA9F1D4967}"/>
</file>

<file path=customXml/itemProps3.xml><?xml version="1.0" encoding="utf-8"?>
<ds:datastoreItem xmlns:ds="http://schemas.openxmlformats.org/officeDocument/2006/customXml" ds:itemID="{9779EF78-7E97-4CB5-A445-E10740B92E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HZ University of Applied Sciences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R.F.A. Tolle</dc:creator>
  <cp:keywords/>
  <dc:description/>
  <cp:lastModifiedBy>Frank Peeters</cp:lastModifiedBy>
  <cp:revision/>
  <dcterms:created xsi:type="dcterms:W3CDTF">2023-05-27T07:38:58Z</dcterms:created>
  <dcterms:modified xsi:type="dcterms:W3CDTF">2023-11-17T10:35:54Z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0x0101007440DBDBF3650C4B83A0F860B8604803</vt:lpwstr>
  </property>
  <property fmtid="{D5CDD505-2E9C-101B-9397-08002B2CF9AE}" pid="3" name="MediaServiceImageTags">
    <vt:lpwstr/>
  </property>
</Properties>
</file>